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20370" windowHeight="9990" activeTab="0"/>
  </bookViews>
  <sheets>
    <sheet name="Y-2013-Q2" sheetId="1" r:id="rId1"/>
    <sheet name="Y-2013-Q1" sheetId="2" r:id="rId2"/>
    <sheet name="Y-2012-Q4" sheetId="3" r:id="rId3"/>
    <sheet name="RECAP - Dec 20, 2012 PRO-FORMA" sheetId="4" r:id="rId4"/>
    <sheet name="YM-2012-Q3" sheetId="5" r:id="rId5"/>
    <sheet name="YM-2012-Q2" sheetId="6" r:id="rId6"/>
    <sheet name="YM-2012-Q1" sheetId="7" r:id="rId7"/>
    <sheet name="YM-2011-Q4" sheetId="8" r:id="rId8"/>
    <sheet name="Links" sheetId="9" r:id="rId9"/>
    <sheet name="YM Original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Vic</author>
  </authors>
  <commentLis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12"/>
            <color indexed="10"/>
            <rFont val="Tahoma"/>
            <family val="2"/>
          </rPr>
          <t>Statement of Cash Flows:
Total interest paid = $13,978</t>
        </r>
      </text>
    </comment>
    <comment ref="B36" authorId="0">
      <text>
        <r>
          <rPr>
            <b/>
            <sz val="12"/>
            <color indexed="10"/>
            <rFont val="Tahoma"/>
            <family val="2"/>
          </rPr>
          <t xml:space="preserve">Semi-annual interest payments in May and November
</t>
        </r>
      </text>
    </comment>
    <comment ref="E38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0"/>
          </rPr>
          <t xml:space="preserve">
</t>
        </r>
      </text>
    </comment>
    <comment ref="I38" authorId="0">
      <text>
        <r>
          <rPr>
            <b/>
            <sz val="12"/>
            <color indexed="10"/>
            <rFont val="Tahoma"/>
            <family val="2"/>
          </rPr>
          <t>Statement of Cash flows:
Deferred Consideration = $5,624
Repayment of long term debt = $141</t>
        </r>
      </text>
    </comment>
    <comment ref="E40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9"/>
            <rFont val="Tahoma"/>
            <family val="0"/>
          </rPr>
          <t>Consolidated stmt of Cash Flows</t>
        </r>
        <r>
          <rPr>
            <sz val="9"/>
            <rFont val="Tahoma"/>
            <family val="0"/>
          </rPr>
          <t xml:space="preserve">
</t>
        </r>
      </text>
    </comment>
    <comment ref="I43" authorId="0">
      <text>
        <r>
          <rPr>
            <b/>
            <sz val="12"/>
            <color indexed="10"/>
            <rFont val="Tahoma"/>
            <family val="2"/>
          </rPr>
          <t>Statement of Cash Flows:
Post employment benefits in excess of cost = $1,791</t>
        </r>
      </text>
    </comment>
    <comment ref="E44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I44" authorId="0">
      <text>
        <r>
          <rPr>
            <b/>
            <sz val="12"/>
            <color indexed="10"/>
            <rFont val="Tahoma"/>
            <family val="2"/>
          </rPr>
          <t>Statement of Cash Flows:
Change in operating assets/liabilities = $12,200 +</t>
        </r>
      </text>
    </comment>
    <comment ref="H48" authorId="0">
      <text>
        <r>
          <rPr>
            <b/>
            <sz val="16"/>
            <color indexed="10"/>
            <rFont val="Tahoma"/>
            <family val="2"/>
          </rPr>
          <t>Total Recap fees
$63 MM total</t>
        </r>
        <r>
          <rPr>
            <sz val="9"/>
            <rFont val="Tahoma"/>
            <family val="0"/>
          </rPr>
          <t xml:space="preserve">
</t>
        </r>
      </text>
    </comment>
    <comment ref="I50" authorId="0">
      <text>
        <r>
          <rPr>
            <b/>
            <sz val="12"/>
            <color indexed="10"/>
            <rFont val="Tahoma"/>
            <family val="2"/>
          </rPr>
          <t xml:space="preserve">Variance  due sales tax assessment
pg 9 of MD&amp;A </t>
        </r>
      </text>
    </comment>
    <comment ref="H55" authorId="0">
      <text>
        <r>
          <rPr>
            <b/>
            <sz val="14"/>
            <color indexed="10"/>
            <rFont val="Tahoma"/>
            <family val="2"/>
          </rPr>
          <t>Cash to lenders and MTN's</t>
        </r>
        <r>
          <rPr>
            <sz val="9"/>
            <rFont val="Tahoma"/>
            <family val="0"/>
          </rPr>
          <t xml:space="preserve">
</t>
        </r>
      </text>
    </comment>
    <comment ref="D56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H59" authorId="0">
      <text>
        <r>
          <rPr>
            <b/>
            <sz val="12"/>
            <color indexed="10"/>
            <rFont val="Tahoma"/>
            <family val="2"/>
          </rPr>
          <t xml:space="preserve">Debt that has been reduced excluding convertible preferred shares
</t>
        </r>
      </text>
    </comment>
    <comment ref="D64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E64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F64" authorId="0">
      <text>
        <r>
          <rPr>
            <b/>
            <sz val="14"/>
            <color indexed="10"/>
            <rFont val="Tahoma"/>
            <family val="2"/>
          </rPr>
          <t>March 1, 2012 installment</t>
        </r>
      </text>
    </comment>
    <comment ref="G64" authorId="0">
      <text>
        <r>
          <rPr>
            <b/>
            <sz val="14"/>
            <color indexed="10"/>
            <rFont val="Tahoma"/>
            <family val="2"/>
          </rPr>
          <t>June 1, 2012 installment</t>
        </r>
      </text>
    </comment>
    <comment ref="H64" authorId="0">
      <text>
        <r>
          <rPr>
            <b/>
            <sz val="16"/>
            <color indexed="10"/>
            <rFont val="Tahoma"/>
            <family val="2"/>
          </rPr>
          <t>Oct 1, 2012 payment of $25 million
plus additional $25 million payment
balance of $80 million "recapped"</t>
        </r>
      </text>
    </comment>
    <comment ref="E65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D66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  <comment ref="J70" authorId="0">
      <text>
        <r>
          <rPr>
            <b/>
            <sz val="12"/>
            <color indexed="10"/>
            <rFont val="Tahoma"/>
            <family val="2"/>
          </rPr>
          <t xml:space="preserve">Conference call details:
2013 - $100 MM
2014 - $  75 MM
</t>
        </r>
      </text>
    </comment>
    <comment ref="D91" authorId="0">
      <text>
        <r>
          <rPr>
            <b/>
            <sz val="14"/>
            <color indexed="10"/>
            <rFont val="Tahoma"/>
            <family val="2"/>
          </rPr>
          <t>EBITDA less Depreciation and Amortization, ignoring special items such as impairment charges, restructuring charges, and gains on settlement of debt.  These are usually one-time adjustments (noise).</t>
        </r>
        <r>
          <rPr>
            <b/>
            <sz val="14"/>
            <rFont val="Tahoma"/>
            <family val="2"/>
          </rPr>
          <t xml:space="preserve">
</t>
        </r>
      </text>
    </comment>
    <comment ref="H91" authorId="0">
      <text>
        <r>
          <rPr>
            <b/>
            <sz val="12"/>
            <color indexed="10"/>
            <rFont val="Tahoma"/>
            <family val="2"/>
          </rPr>
          <t>EBITDA    -  Dep/ Amort = Adjusted earnings from Ops 
 $ 141.6    -         23.4       =    $118.2  million</t>
        </r>
        <r>
          <rPr>
            <sz val="9"/>
            <rFont val="Tahoma"/>
            <family val="0"/>
          </rPr>
          <t xml:space="preserve">
</t>
        </r>
      </text>
    </comment>
    <comment ref="I91" authorId="0">
      <text>
        <r>
          <rPr>
            <b/>
            <sz val="12"/>
            <color indexed="10"/>
            <rFont val="Tahoma"/>
            <family val="2"/>
          </rPr>
          <t>EBITDA    -  Dep/ Amort = Adjusted earnings from Ops 
 $ 115.5    -        $ 13.7       =    $ 101.8  million</t>
        </r>
      </text>
    </comment>
    <comment ref="I97" authorId="0">
      <text>
        <r>
          <rPr>
            <b/>
            <sz val="12"/>
            <color indexed="10"/>
            <rFont val="Tahoma"/>
            <family val="2"/>
          </rPr>
          <t xml:space="preserve">Closing share price as at May 21, 2013
</t>
        </r>
      </text>
    </comment>
    <comment ref="J91" authorId="0">
      <text>
        <r>
          <rPr>
            <b/>
            <sz val="12"/>
            <color indexed="10"/>
            <rFont val="Tahoma"/>
            <family val="2"/>
          </rPr>
          <t>EBITDA    -  Dep/ Amort = Adjusted earnings from Ops 
 $ 107.2    -        $ 14.8       =    $ 92.4  million</t>
        </r>
      </text>
    </comment>
    <comment ref="J97" authorId="0">
      <text>
        <r>
          <rPr>
            <b/>
            <sz val="12"/>
            <color indexed="10"/>
            <rFont val="Tahoma"/>
            <family val="2"/>
          </rPr>
          <t>Closing share price as at August 7, 2013</t>
        </r>
      </text>
    </comment>
  </commentList>
</comments>
</file>

<file path=xl/comments10.xml><?xml version="1.0" encoding="utf-8"?>
<comments xmlns="http://schemas.openxmlformats.org/spreadsheetml/2006/main">
  <authors>
    <author>Vic</author>
  </authors>
  <commentList>
    <comment ref="D33" authorId="0">
      <text>
        <r>
          <rPr>
            <b/>
            <sz val="9"/>
            <rFont val="Tahoma"/>
            <family val="0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37" authorId="0">
      <text>
        <r>
          <rPr>
            <b/>
            <sz val="9"/>
            <rFont val="Tahoma"/>
            <family val="0"/>
          </rPr>
          <t>Cleared per IR - John</t>
        </r>
        <r>
          <rPr>
            <sz val="9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9"/>
            <rFont val="Tahoma"/>
            <family val="0"/>
          </rPr>
          <t>Cleared per IR - John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Vic</author>
  </authors>
  <commentLis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0"/>
          </rPr>
          <t xml:space="preserve">
</t>
        </r>
      </text>
    </comment>
    <comment ref="E40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9"/>
            <rFont val="Tahoma"/>
            <family val="0"/>
          </rPr>
          <t>Consolidated stmt of Cash Flows</t>
        </r>
        <r>
          <rPr>
            <sz val="9"/>
            <rFont val="Tahoma"/>
            <family val="0"/>
          </rPr>
          <t xml:space="preserve">
</t>
        </r>
      </text>
    </comment>
    <comment ref="E44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H47" authorId="0">
      <text>
        <r>
          <rPr>
            <b/>
            <sz val="16"/>
            <color indexed="10"/>
            <rFont val="Tahoma"/>
            <family val="2"/>
          </rPr>
          <t>Total Recap fees
$63 MM total</t>
        </r>
        <r>
          <rPr>
            <sz val="9"/>
            <rFont val="Tahoma"/>
            <family val="0"/>
          </rPr>
          <t xml:space="preserve">
</t>
        </r>
      </text>
    </comment>
    <comment ref="H54" authorId="0">
      <text>
        <r>
          <rPr>
            <b/>
            <sz val="14"/>
            <color indexed="10"/>
            <rFont val="Tahoma"/>
            <family val="2"/>
          </rPr>
          <t>Cash to lenders and MTN's</t>
        </r>
        <r>
          <rPr>
            <sz val="9"/>
            <rFont val="Tahoma"/>
            <family val="0"/>
          </rPr>
          <t xml:space="preserve">
</t>
        </r>
      </text>
    </comment>
    <comment ref="D55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H58" authorId="0">
      <text>
        <r>
          <rPr>
            <b/>
            <sz val="12"/>
            <color indexed="10"/>
            <rFont val="Tahoma"/>
            <family val="2"/>
          </rPr>
          <t xml:space="preserve">Debt that has been reduced excluding convertible preferred shares
</t>
        </r>
      </text>
    </comment>
    <comment ref="D63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E63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F63" authorId="0">
      <text>
        <r>
          <rPr>
            <b/>
            <sz val="14"/>
            <color indexed="10"/>
            <rFont val="Tahoma"/>
            <family val="2"/>
          </rPr>
          <t>March 1, 2012 installment</t>
        </r>
      </text>
    </comment>
    <comment ref="G63" authorId="0">
      <text>
        <r>
          <rPr>
            <b/>
            <sz val="14"/>
            <color indexed="10"/>
            <rFont val="Tahoma"/>
            <family val="2"/>
          </rPr>
          <t>June 1, 2012 installment</t>
        </r>
      </text>
    </comment>
    <comment ref="H63" authorId="0">
      <text>
        <r>
          <rPr>
            <b/>
            <sz val="16"/>
            <color indexed="10"/>
            <rFont val="Tahoma"/>
            <family val="2"/>
          </rPr>
          <t>Oct 1, 2012 payment of $25 million
plus additional $25 million payment
balance of $80 million "recapped"</t>
        </r>
      </text>
    </comment>
    <comment ref="E64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D65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  <comment ref="J69" authorId="0">
      <text>
        <r>
          <rPr>
            <b/>
            <sz val="12"/>
            <color indexed="10"/>
            <rFont val="Tahoma"/>
            <family val="2"/>
          </rPr>
          <t xml:space="preserve">Conference call details:
2013 - $100 MM
2014 - $  75 MM
</t>
        </r>
      </text>
    </comment>
    <comment ref="D89" authorId="0">
      <text>
        <r>
          <rPr>
            <b/>
            <sz val="14"/>
            <color indexed="10"/>
            <rFont val="Tahoma"/>
            <family val="2"/>
          </rPr>
          <t>EBITDA less Depreciation and Amortization, ignoring special items such as impairment charges, restructuring charges, and gains on settlement of debt.  These are usually one-time adjustments (noise).</t>
        </r>
        <r>
          <rPr>
            <b/>
            <sz val="14"/>
            <rFont val="Tahoma"/>
            <family val="2"/>
          </rPr>
          <t xml:space="preserve">
</t>
        </r>
      </text>
    </comment>
    <comment ref="H89" authorId="0">
      <text>
        <r>
          <rPr>
            <b/>
            <sz val="12"/>
            <color indexed="10"/>
            <rFont val="Tahoma"/>
            <family val="2"/>
          </rPr>
          <t>EBITDA    -  Dep/ Amort = Adjusted earnings from Ops 
 $ 141.6    -         23.4       =    $118.2  million</t>
        </r>
        <r>
          <rPr>
            <sz val="9"/>
            <rFont val="Tahoma"/>
            <family val="0"/>
          </rPr>
          <t xml:space="preserve">
</t>
        </r>
      </text>
    </comment>
    <comment ref="I89" authorId="0">
      <text>
        <r>
          <rPr>
            <b/>
            <sz val="12"/>
            <color indexed="10"/>
            <rFont val="Tahoma"/>
            <family val="2"/>
          </rPr>
          <t>EBITDA    -  Dep/ Amort = Adjusted earnings from Ops 
 $ 115.5    -        $ 13.7       =    $ 101.8  million</t>
        </r>
      </text>
    </comment>
    <comment ref="I35" authorId="0">
      <text>
        <r>
          <rPr>
            <b/>
            <sz val="12"/>
            <color indexed="10"/>
            <rFont val="Tahoma"/>
            <family val="2"/>
          </rPr>
          <t>Statement of Cash Flows:
Total interest paid = $13,978</t>
        </r>
      </text>
    </comment>
    <comment ref="I43" authorId="0">
      <text>
        <r>
          <rPr>
            <b/>
            <sz val="12"/>
            <color indexed="10"/>
            <rFont val="Tahoma"/>
            <family val="2"/>
          </rPr>
          <t>Statement of Cash Flows:
Post employment benefits in excess of cost = $1,791</t>
        </r>
      </text>
    </comment>
    <comment ref="I44" authorId="0">
      <text>
        <r>
          <rPr>
            <b/>
            <sz val="12"/>
            <color indexed="10"/>
            <rFont val="Tahoma"/>
            <family val="2"/>
          </rPr>
          <t>Statement of Cash Flows:
Change in operating assets/liabilities = $12,200 +</t>
        </r>
      </text>
    </comment>
    <comment ref="I38" authorId="0">
      <text>
        <r>
          <rPr>
            <b/>
            <sz val="12"/>
            <color indexed="10"/>
            <rFont val="Tahoma"/>
            <family val="2"/>
          </rPr>
          <t>Statement of Cash flows:
Deferred Consideration = $5,624
Repayment of long term debt = $141</t>
        </r>
      </text>
    </comment>
    <comment ref="I95" authorId="0">
      <text>
        <r>
          <rPr>
            <b/>
            <sz val="12"/>
            <color indexed="10"/>
            <rFont val="Tahoma"/>
            <family val="2"/>
          </rPr>
          <t xml:space="preserve">Closing share price as at May 21, 2013
</t>
        </r>
      </text>
    </comment>
    <comment ref="B36" authorId="0">
      <text>
        <r>
          <rPr>
            <b/>
            <sz val="12"/>
            <color indexed="10"/>
            <rFont val="Tahoma"/>
            <family val="2"/>
          </rPr>
          <t xml:space="preserve">Semi-annual interest payments in May and November
</t>
        </r>
      </text>
    </comment>
    <comment ref="I49" authorId="0">
      <text>
        <r>
          <rPr>
            <b/>
            <sz val="12"/>
            <color indexed="10"/>
            <rFont val="Tahoma"/>
            <family val="2"/>
          </rPr>
          <t xml:space="preserve">Variance  due sales tax assessment
pg 9 of MD&amp;A </t>
        </r>
      </text>
    </comment>
  </commentList>
</comments>
</file>

<file path=xl/comments3.xml><?xml version="1.0" encoding="utf-8"?>
<comments xmlns="http://schemas.openxmlformats.org/spreadsheetml/2006/main">
  <authors>
    <author>Vic</author>
  </authors>
  <commentLis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0"/>
          </rPr>
          <t xml:space="preserve">
</t>
        </r>
      </text>
    </comment>
    <comment ref="E49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52" authorId="0">
      <text>
        <r>
          <rPr>
            <b/>
            <sz val="9"/>
            <rFont val="Tahoma"/>
            <family val="0"/>
          </rPr>
          <t>Consolidated stmt of Cash Flows</t>
        </r>
        <r>
          <rPr>
            <sz val="9"/>
            <rFont val="Tahoma"/>
            <family val="0"/>
          </rPr>
          <t xml:space="preserve">
</t>
        </r>
      </text>
    </comment>
    <comment ref="E53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H56" authorId="0">
      <text>
        <r>
          <rPr>
            <b/>
            <sz val="16"/>
            <color indexed="10"/>
            <rFont val="Tahoma"/>
            <family val="2"/>
          </rPr>
          <t>Total Recap fees
$63 MM total</t>
        </r>
        <r>
          <rPr>
            <sz val="9"/>
            <rFont val="Tahoma"/>
            <family val="0"/>
          </rPr>
          <t xml:space="preserve">
</t>
        </r>
      </text>
    </comment>
    <comment ref="H63" authorId="0">
      <text>
        <r>
          <rPr>
            <b/>
            <sz val="14"/>
            <color indexed="10"/>
            <rFont val="Tahoma"/>
            <family val="2"/>
          </rPr>
          <t>Cash to lenders and MTN's</t>
        </r>
        <r>
          <rPr>
            <sz val="9"/>
            <rFont val="Tahoma"/>
            <family val="0"/>
          </rPr>
          <t xml:space="preserve">
</t>
        </r>
      </text>
    </comment>
    <comment ref="D64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H67" authorId="0">
      <text>
        <r>
          <rPr>
            <b/>
            <sz val="12"/>
            <color indexed="10"/>
            <rFont val="Tahoma"/>
            <family val="2"/>
          </rPr>
          <t xml:space="preserve">Debt that has been reduced excluding convertible preferred shares
</t>
        </r>
      </text>
    </comment>
    <comment ref="D72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E72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F72" authorId="0">
      <text>
        <r>
          <rPr>
            <b/>
            <sz val="14"/>
            <color indexed="10"/>
            <rFont val="Tahoma"/>
            <family val="2"/>
          </rPr>
          <t>March 1, 2012 installment</t>
        </r>
      </text>
    </comment>
    <comment ref="G72" authorId="0">
      <text>
        <r>
          <rPr>
            <b/>
            <sz val="14"/>
            <color indexed="10"/>
            <rFont val="Tahoma"/>
            <family val="2"/>
          </rPr>
          <t>June 1, 2012 installment</t>
        </r>
      </text>
    </comment>
    <comment ref="H72" authorId="0">
      <text>
        <r>
          <rPr>
            <b/>
            <sz val="16"/>
            <color indexed="10"/>
            <rFont val="Tahoma"/>
            <family val="2"/>
          </rPr>
          <t>Oct 1, 2012 payment of $25 million
plus additional $25 million payment
balance of $80 million "recapped"</t>
        </r>
      </text>
    </comment>
    <comment ref="E73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D74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  <comment ref="J78" authorId="0">
      <text>
        <r>
          <rPr>
            <b/>
            <sz val="12"/>
            <color indexed="10"/>
            <rFont val="Tahoma"/>
            <family val="2"/>
          </rPr>
          <t xml:space="preserve">Conference call details:
2013 - $100 MM
2014 - $  75 MM
</t>
        </r>
      </text>
    </comment>
    <comment ref="D104" authorId="0">
      <text>
        <r>
          <rPr>
            <b/>
            <sz val="14"/>
            <color indexed="10"/>
            <rFont val="Tahoma"/>
            <family val="2"/>
          </rPr>
          <t>EBITDA less Depreciation and Amortization, ignoring special items such as impairment charges, restructuring charges, and gains on settlement of debt.  These are usually one-time adjustments (noise).</t>
        </r>
        <r>
          <rPr>
            <b/>
            <sz val="14"/>
            <rFont val="Tahoma"/>
            <family val="2"/>
          </rPr>
          <t xml:space="preserve">
</t>
        </r>
      </text>
    </comment>
    <comment ref="H104" authorId="0">
      <text>
        <r>
          <rPr>
            <b/>
            <sz val="12"/>
            <color indexed="10"/>
            <rFont val="Tahoma"/>
            <family val="2"/>
          </rPr>
          <t>EBITDA    -  Dep/ Amort = Adjusted earnings from Ops 
 $ 141.6    -         23.4       =    $118.2  million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Vic</author>
  </authors>
  <commentLis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12"/>
            <color indexed="10"/>
            <rFont val="Tahoma"/>
            <family val="2"/>
          </rPr>
          <t>Closure of higher-cost Canpages  boosted margins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0"/>
          </rPr>
          <t xml:space="preserve">
</t>
        </r>
      </text>
    </comment>
    <comment ref="E49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52" authorId="0">
      <text>
        <r>
          <rPr>
            <b/>
            <sz val="9"/>
            <rFont val="Tahoma"/>
            <family val="0"/>
          </rPr>
          <t>Consolidated stmt of Cash Flows</t>
        </r>
        <r>
          <rPr>
            <sz val="9"/>
            <rFont val="Tahoma"/>
            <family val="0"/>
          </rPr>
          <t xml:space="preserve">
</t>
        </r>
      </text>
    </comment>
    <comment ref="E53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D64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72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E72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F72" authorId="0">
      <text>
        <r>
          <rPr>
            <b/>
            <sz val="14"/>
            <color indexed="10"/>
            <rFont val="Tahoma"/>
            <family val="2"/>
          </rPr>
          <t>March 1, 2012 installment</t>
        </r>
      </text>
    </comment>
    <comment ref="G72" authorId="0">
      <text>
        <r>
          <rPr>
            <b/>
            <sz val="14"/>
            <color indexed="10"/>
            <rFont val="Tahoma"/>
            <family val="2"/>
          </rPr>
          <t>June 1, 2012 installment</t>
        </r>
      </text>
    </comment>
    <comment ref="E73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D74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  <comment ref="H72" authorId="0">
      <text>
        <r>
          <rPr>
            <b/>
            <sz val="16"/>
            <color indexed="10"/>
            <rFont val="Tahoma"/>
            <family val="2"/>
          </rPr>
          <t>Oct 1, 2012 payment of $25 million
plus additional $25 million payment
balance of $80 million "recapped"</t>
        </r>
      </text>
    </comment>
    <comment ref="H56" authorId="0">
      <text>
        <r>
          <rPr>
            <b/>
            <sz val="16"/>
            <color indexed="10"/>
            <rFont val="Tahoma"/>
            <family val="2"/>
          </rPr>
          <t>Recap fees
$50 MM total</t>
        </r>
        <r>
          <rPr>
            <sz val="9"/>
            <rFont val="Tahoma"/>
            <family val="0"/>
          </rPr>
          <t xml:space="preserve">
</t>
        </r>
      </text>
    </comment>
    <comment ref="H63" authorId="0">
      <text>
        <r>
          <rPr>
            <b/>
            <sz val="14"/>
            <color indexed="10"/>
            <rFont val="Tahoma"/>
            <family val="2"/>
          </rPr>
          <t>Cash to lenders and MTN's</t>
        </r>
        <r>
          <rPr>
            <sz val="9"/>
            <rFont val="Tahoma"/>
            <family val="0"/>
          </rPr>
          <t xml:space="preserve">
</t>
        </r>
      </text>
    </comment>
    <comment ref="H67" authorId="0">
      <text>
        <r>
          <rPr>
            <b/>
            <sz val="12"/>
            <color indexed="10"/>
            <rFont val="Tahoma"/>
            <family val="2"/>
          </rPr>
          <t xml:space="preserve">Debt that has been reduced excluding convertible preferred shares
</t>
        </r>
      </text>
    </comment>
  </commentList>
</comments>
</file>

<file path=xl/comments5.xml><?xml version="1.0" encoding="utf-8"?>
<comments xmlns="http://schemas.openxmlformats.org/spreadsheetml/2006/main">
  <authors>
    <author>Vic</author>
  </authors>
  <commentLis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12"/>
            <color indexed="10"/>
            <rFont val="Tahoma"/>
            <family val="2"/>
          </rPr>
          <t>Closure of higher-cost Canpages  boosted margins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M30" authorId="0">
      <text>
        <r>
          <rPr>
            <b/>
            <sz val="12"/>
            <color indexed="10"/>
            <rFont val="Tahoma"/>
            <family val="2"/>
          </rPr>
          <t>Assumes RT drawdown</t>
        </r>
      </text>
    </comment>
    <comment ref="L32" authorId="0">
      <text>
        <r>
          <rPr>
            <b/>
            <sz val="12"/>
            <color indexed="10"/>
            <rFont val="Tahoma"/>
            <family val="2"/>
          </rPr>
          <t>Assumes conversion to common shares</t>
        </r>
        <r>
          <rPr>
            <sz val="9"/>
            <rFont val="Tahoma"/>
            <family val="0"/>
          </rPr>
          <t xml:space="preserve">
</t>
        </r>
      </text>
    </comment>
    <comment ref="E44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0"/>
          </rPr>
          <t xml:space="preserve">
</t>
        </r>
      </text>
    </comment>
    <comment ref="E46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0"/>
          </rPr>
          <t>Consolidated stmt of Cash Flows</t>
        </r>
        <r>
          <rPr>
            <sz val="9"/>
            <rFont val="Tahoma"/>
            <family val="0"/>
          </rPr>
          <t xml:space="preserve">
</t>
        </r>
      </text>
    </comment>
    <comment ref="E50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D61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69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E69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F69" authorId="0">
      <text>
        <r>
          <rPr>
            <b/>
            <sz val="14"/>
            <color indexed="10"/>
            <rFont val="Tahoma"/>
            <family val="2"/>
          </rPr>
          <t>March 1, 2012 installment</t>
        </r>
      </text>
    </comment>
    <comment ref="I69" authorId="0">
      <text>
        <r>
          <rPr>
            <b/>
            <sz val="9"/>
            <rFont val="Tahoma"/>
            <family val="0"/>
          </rPr>
          <t>Jan 1, 2013 installment + Feb balance due</t>
        </r>
        <r>
          <rPr>
            <sz val="9"/>
            <rFont val="Tahoma"/>
            <family val="0"/>
          </rPr>
          <t xml:space="preserve">
</t>
        </r>
      </text>
    </comment>
    <comment ref="E70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I70" authorId="0">
      <text>
        <r>
          <rPr>
            <b/>
            <sz val="12"/>
            <color indexed="10"/>
            <rFont val="Tahoma"/>
            <family val="2"/>
          </rPr>
          <t xml:space="preserve">Assumes repayment of the RT in full.
</t>
        </r>
      </text>
    </comment>
    <comment ref="D71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  <comment ref="G69" authorId="0">
      <text>
        <r>
          <rPr>
            <b/>
            <sz val="14"/>
            <color indexed="10"/>
            <rFont val="Tahoma"/>
            <family val="2"/>
          </rPr>
          <t>June 1, 2012 installment</t>
        </r>
      </text>
    </comment>
  </commentList>
</comments>
</file>

<file path=xl/comments6.xml><?xml version="1.0" encoding="utf-8"?>
<comments xmlns="http://schemas.openxmlformats.org/spreadsheetml/2006/main">
  <authors>
    <author>Vic</author>
  </authors>
  <commentLis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12"/>
            <color indexed="10"/>
            <rFont val="Tahoma"/>
            <family val="2"/>
          </rPr>
          <t>Closure of higher-cost Canpages  boosted margins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M30" authorId="0">
      <text>
        <r>
          <rPr>
            <b/>
            <sz val="12"/>
            <color indexed="10"/>
            <rFont val="Tahoma"/>
            <family val="2"/>
          </rPr>
          <t>Assumes RT drawdown</t>
        </r>
      </text>
    </comment>
    <comment ref="L32" authorId="0">
      <text>
        <r>
          <rPr>
            <b/>
            <sz val="12"/>
            <color indexed="10"/>
            <rFont val="Tahoma"/>
            <family val="2"/>
          </rPr>
          <t>Assumes conversion to common shares</t>
        </r>
        <r>
          <rPr>
            <sz val="9"/>
            <rFont val="Tahoma"/>
            <family val="0"/>
          </rPr>
          <t xml:space="preserve">
</t>
        </r>
      </text>
    </comment>
    <comment ref="E44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0"/>
          </rPr>
          <t xml:space="preserve">
</t>
        </r>
      </text>
    </comment>
    <comment ref="E46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0"/>
          </rPr>
          <t>Consolidated stmt of Cash Flows</t>
        </r>
        <r>
          <rPr>
            <sz val="9"/>
            <rFont val="Tahoma"/>
            <family val="0"/>
          </rPr>
          <t xml:space="preserve">
</t>
        </r>
      </text>
    </comment>
    <comment ref="E50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D59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67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E67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I67" authorId="0">
      <text>
        <r>
          <rPr>
            <b/>
            <sz val="9"/>
            <rFont val="Tahoma"/>
            <family val="0"/>
          </rPr>
          <t>Jan 1, 2013 installment + Feb balance due</t>
        </r>
        <r>
          <rPr>
            <sz val="9"/>
            <rFont val="Tahoma"/>
            <family val="0"/>
          </rPr>
          <t xml:space="preserve">
</t>
        </r>
      </text>
    </comment>
    <comment ref="E68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I68" authorId="0">
      <text>
        <r>
          <rPr>
            <b/>
            <sz val="12"/>
            <color indexed="10"/>
            <rFont val="Tahoma"/>
            <family val="2"/>
          </rPr>
          <t xml:space="preserve">Assumes repayment of the RT in full.
</t>
        </r>
      </text>
    </comment>
    <comment ref="M68" authorId="0">
      <text>
        <r>
          <rPr>
            <b/>
            <sz val="12"/>
            <color indexed="10"/>
            <rFont val="Tahoma"/>
            <family val="2"/>
          </rPr>
          <t>Assumes RT drawdown</t>
        </r>
        <r>
          <rPr>
            <sz val="12"/>
            <color indexed="10"/>
            <rFont val="Tahoma"/>
            <family val="2"/>
          </rPr>
          <t xml:space="preserve">
</t>
        </r>
      </text>
    </comment>
    <comment ref="P68" authorId="0">
      <text>
        <r>
          <rPr>
            <b/>
            <sz val="12"/>
            <color indexed="10"/>
            <rFont val="Tahoma"/>
            <family val="2"/>
          </rPr>
          <t>Assumes RT payback</t>
        </r>
        <r>
          <rPr>
            <sz val="9"/>
            <rFont val="Tahoma"/>
            <family val="0"/>
          </rPr>
          <t xml:space="preserve">
</t>
        </r>
      </text>
    </comment>
    <comment ref="D69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  <comment ref="F67" authorId="0">
      <text>
        <r>
          <rPr>
            <b/>
            <sz val="14"/>
            <color indexed="10"/>
            <rFont val="Tahoma"/>
            <family val="2"/>
          </rPr>
          <t>March 1, 2012 installment</t>
        </r>
      </text>
    </comment>
  </commentList>
</comments>
</file>

<file path=xl/comments7.xml><?xml version="1.0" encoding="utf-8"?>
<comments xmlns="http://schemas.openxmlformats.org/spreadsheetml/2006/main">
  <authors>
    <author>Vic</author>
  </authors>
  <commentList>
    <comment ref="M30" authorId="0">
      <text>
        <r>
          <rPr>
            <b/>
            <sz val="12"/>
            <color indexed="10"/>
            <rFont val="Tahoma"/>
            <family val="2"/>
          </rPr>
          <t>Assumes RT drawdown</t>
        </r>
      </text>
    </comment>
    <comment ref="L32" authorId="0">
      <text>
        <r>
          <rPr>
            <b/>
            <sz val="12"/>
            <color indexed="10"/>
            <rFont val="Tahoma"/>
            <family val="2"/>
          </rPr>
          <t>Assumes conversion to common shares</t>
        </r>
        <r>
          <rPr>
            <sz val="9"/>
            <rFont val="Tahoma"/>
            <family val="0"/>
          </rPr>
          <t xml:space="preserve">
</t>
        </r>
      </text>
    </comment>
    <comment ref="D59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67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E67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I67" authorId="0">
      <text>
        <r>
          <rPr>
            <b/>
            <sz val="9"/>
            <rFont val="Tahoma"/>
            <family val="0"/>
          </rPr>
          <t>Jan 1, 2013 installment + Feb balance due</t>
        </r>
        <r>
          <rPr>
            <sz val="9"/>
            <rFont val="Tahoma"/>
            <family val="0"/>
          </rPr>
          <t xml:space="preserve">
</t>
        </r>
      </text>
    </comment>
    <comment ref="E68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I68" authorId="0">
      <text>
        <r>
          <rPr>
            <b/>
            <sz val="12"/>
            <color indexed="10"/>
            <rFont val="Tahoma"/>
            <family val="2"/>
          </rPr>
          <t xml:space="preserve">Assumes repayment of the RT in full.
</t>
        </r>
      </text>
    </comment>
    <comment ref="M68" authorId="0">
      <text>
        <r>
          <rPr>
            <b/>
            <sz val="12"/>
            <color indexed="10"/>
            <rFont val="Tahoma"/>
            <family val="2"/>
          </rPr>
          <t>Assumes RT drawdown</t>
        </r>
        <r>
          <rPr>
            <sz val="12"/>
            <color indexed="10"/>
            <rFont val="Tahoma"/>
            <family val="2"/>
          </rPr>
          <t xml:space="preserve">
</t>
        </r>
      </text>
    </comment>
    <comment ref="P68" authorId="0">
      <text>
        <r>
          <rPr>
            <b/>
            <sz val="12"/>
            <color indexed="10"/>
            <rFont val="Tahoma"/>
            <family val="2"/>
          </rPr>
          <t>Assumes RT payback</t>
        </r>
        <r>
          <rPr>
            <sz val="9"/>
            <rFont val="Tahoma"/>
            <family val="0"/>
          </rPr>
          <t xml:space="preserve">
</t>
        </r>
      </text>
    </comment>
    <comment ref="D69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  <comment ref="E46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0"/>
          </rPr>
          <t>Consolidated stmt of Cash Flows</t>
        </r>
        <r>
          <rPr>
            <sz val="9"/>
            <rFont val="Tahoma"/>
            <family val="0"/>
          </rPr>
          <t xml:space="preserve">
</t>
        </r>
      </text>
    </comment>
    <comment ref="E44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0"/>
          </rPr>
          <t xml:space="preserve">
</t>
        </r>
      </text>
    </comment>
    <comment ref="E50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12"/>
            <color indexed="10"/>
            <rFont val="Tahoma"/>
            <family val="2"/>
          </rPr>
          <t>Closure of higher-cost Canpages  boosted margins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Vic</author>
  </authors>
  <commentList>
    <comment ref="D56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64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D66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  <comment ref="E65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E64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I64" authorId="0">
      <text>
        <r>
          <rPr>
            <b/>
            <sz val="9"/>
            <rFont val="Tahoma"/>
            <family val="0"/>
          </rPr>
          <t>Jan 1, 2013 installment + Feb balance due</t>
        </r>
        <r>
          <rPr>
            <sz val="9"/>
            <rFont val="Tahoma"/>
            <family val="0"/>
          </rPr>
          <t xml:space="preserve">
</t>
        </r>
      </text>
    </comment>
    <comment ref="I65" authorId="0">
      <text>
        <r>
          <rPr>
            <b/>
            <sz val="12"/>
            <color indexed="10"/>
            <rFont val="Tahoma"/>
            <family val="2"/>
          </rPr>
          <t xml:space="preserve">Assumes repayment of the RT in full.
</t>
        </r>
      </text>
    </comment>
    <comment ref="M30" authorId="0">
      <text>
        <r>
          <rPr>
            <b/>
            <sz val="12"/>
            <color indexed="10"/>
            <rFont val="Tahoma"/>
            <family val="2"/>
          </rPr>
          <t>Assumes RT drawdown</t>
        </r>
      </text>
    </comment>
    <comment ref="M65" authorId="0">
      <text>
        <r>
          <rPr>
            <b/>
            <sz val="12"/>
            <color indexed="10"/>
            <rFont val="Tahoma"/>
            <family val="2"/>
          </rPr>
          <t>Assumes RT drawdown</t>
        </r>
        <r>
          <rPr>
            <sz val="12"/>
            <color indexed="10"/>
            <rFont val="Tahoma"/>
            <family val="2"/>
          </rPr>
          <t xml:space="preserve">
</t>
        </r>
      </text>
    </comment>
    <comment ref="P65" authorId="0">
      <text>
        <r>
          <rPr>
            <b/>
            <sz val="12"/>
            <color indexed="10"/>
            <rFont val="Tahoma"/>
            <family val="2"/>
          </rPr>
          <t>Assumes RT payback</t>
        </r>
        <r>
          <rPr>
            <sz val="9"/>
            <rFont val="Tahoma"/>
            <family val="0"/>
          </rPr>
          <t xml:space="preserve">
</t>
        </r>
      </text>
    </comment>
    <comment ref="L32" authorId="0">
      <text>
        <r>
          <rPr>
            <b/>
            <sz val="12"/>
            <color indexed="10"/>
            <rFont val="Tahoma"/>
            <family val="2"/>
          </rPr>
          <t>Assumes conversion to common shares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<sst xmlns="http://schemas.openxmlformats.org/spreadsheetml/2006/main" count="1246" uniqueCount="186">
  <si>
    <t>Credit Facility</t>
  </si>
  <si>
    <t>2012 - Q1</t>
  </si>
  <si>
    <t>2012 - Q2</t>
  </si>
  <si>
    <t>2012 - Q3</t>
  </si>
  <si>
    <t>2012 - Q4</t>
  </si>
  <si>
    <t>2013 - Q1</t>
  </si>
  <si>
    <t>2013 - Q2</t>
  </si>
  <si>
    <t>2013 - Q3</t>
  </si>
  <si>
    <t>2013 - Q4</t>
  </si>
  <si>
    <t>2014 - Q1</t>
  </si>
  <si>
    <t>2014 - Q2</t>
  </si>
  <si>
    <t>2014 - Q3</t>
  </si>
  <si>
    <t>2014 - Q4</t>
  </si>
  <si>
    <t>Tax installments</t>
  </si>
  <si>
    <t>Medium Term Notes</t>
  </si>
  <si>
    <t>A</t>
  </si>
  <si>
    <t>Gross operating profit</t>
  </si>
  <si>
    <t>Interest expense</t>
  </si>
  <si>
    <t>Income taxes</t>
  </si>
  <si>
    <t>Dividends</t>
  </si>
  <si>
    <t>2011 - Q4</t>
  </si>
  <si>
    <t>Total payouts</t>
  </si>
  <si>
    <t>Debt</t>
  </si>
  <si>
    <t>Accumulated flow</t>
  </si>
  <si>
    <t>series</t>
  </si>
  <si>
    <t>Commercial paper</t>
  </si>
  <si>
    <t>Dec 2013 - 6.85%</t>
  </si>
  <si>
    <t>July 2013 - 6.50%</t>
  </si>
  <si>
    <t>Apr 2014 - 5.71%</t>
  </si>
  <si>
    <t>Feb 2015 - 7.30%</t>
  </si>
  <si>
    <t>Feb 2016 - 5.25%</t>
  </si>
  <si>
    <t>Nov 2019 - 5.85%</t>
  </si>
  <si>
    <t>Mar 2020 - 7.75%</t>
  </si>
  <si>
    <t>Feb 2036 - 6.25%</t>
  </si>
  <si>
    <t>Debentures  2017- 6.25%</t>
  </si>
  <si>
    <t>Cash on hand - opening</t>
  </si>
  <si>
    <t xml:space="preserve">Debt    </t>
  </si>
  <si>
    <t>Annual</t>
  </si>
  <si>
    <t>Yello Media</t>
  </si>
  <si>
    <t xml:space="preserve">Taxes </t>
  </si>
  <si>
    <t>B</t>
  </si>
  <si>
    <t>C</t>
  </si>
  <si>
    <t>D</t>
  </si>
  <si>
    <t>Excess cash for period</t>
  </si>
  <si>
    <t>(A - B)</t>
  </si>
  <si>
    <t>E</t>
  </si>
  <si>
    <t>Later</t>
  </si>
  <si>
    <t>CASH PAYOUTS</t>
  </si>
  <si>
    <t>Interest</t>
  </si>
  <si>
    <t xml:space="preserve">Annual </t>
  </si>
  <si>
    <t>(The accumulated flow is the sum of the periods to date, displaying the available cash to meet critical debt payments.)</t>
  </si>
  <si>
    <t>(C - D)</t>
  </si>
  <si>
    <t>F</t>
  </si>
  <si>
    <t>Cash flow for period</t>
  </si>
  <si>
    <t>Cash from asset sales</t>
  </si>
  <si>
    <t>O/S</t>
  </si>
  <si>
    <t>Current</t>
  </si>
  <si>
    <t>EBITDA</t>
  </si>
  <si>
    <t xml:space="preserve">Test period </t>
  </si>
  <si>
    <t xml:space="preserve">(point 9.8 - 6 month EBITDA to exceed 3.5 times test period finance charges) </t>
  </si>
  <si>
    <t>&gt; 3.5</t>
  </si>
  <si>
    <t>Subject to conversion in 2012</t>
  </si>
  <si>
    <t>6-month finance charges &gt;&gt;&gt;</t>
  </si>
  <si>
    <t xml:space="preserve">Test </t>
  </si>
  <si>
    <t>Period</t>
  </si>
  <si>
    <t>PAID</t>
  </si>
  <si>
    <t xml:space="preserve">    Preferred shares</t>
  </si>
  <si>
    <t>&lt;3.5</t>
  </si>
  <si>
    <r>
      <t xml:space="preserve">(point 9.7 - total consolidated debt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to exceed 3.5 times extrapolated 12-month EBITDA)</t>
    </r>
  </si>
  <si>
    <t>total opening debt</t>
  </si>
  <si>
    <t>Credit Facility - 4.6%</t>
  </si>
  <si>
    <t>CAPEX</t>
  </si>
  <si>
    <t>Revised: Jan 19, 2012</t>
  </si>
  <si>
    <t>Online revenues</t>
  </si>
  <si>
    <t>Print revenues</t>
  </si>
  <si>
    <t xml:space="preserve">  Online EBITDA</t>
  </si>
  <si>
    <t>Revenue growth</t>
  </si>
  <si>
    <t xml:space="preserve">  Print EBITDA</t>
  </si>
  <si>
    <t>Gross margin  rate</t>
  </si>
  <si>
    <t>Revenue decline</t>
  </si>
  <si>
    <t>Total revenues</t>
  </si>
  <si>
    <t>Percent</t>
  </si>
  <si>
    <t>Links</t>
  </si>
  <si>
    <t>2011Q3 supplemental</t>
  </si>
  <si>
    <t>http://www.ypg.com/images/ckeditor/files/2011_Q4_SuppDisc.pdf</t>
  </si>
  <si>
    <t>2011Q4 supplemental</t>
  </si>
  <si>
    <t>http://www.ypg.com/images/ckeditor/files/2011_Q3_SuppDisc.pdf</t>
  </si>
  <si>
    <t>Credit Facility NRT 4.4%</t>
  </si>
  <si>
    <t>Credit Facility  RT  4.4%</t>
  </si>
  <si>
    <t>Credit Facility - NRT</t>
  </si>
  <si>
    <t>Credit Facility -   RT</t>
  </si>
  <si>
    <t>2011Q4 MD&amp;A</t>
  </si>
  <si>
    <t>http://www.ypg.com/images/ckeditor/files/2011_Q4_MDA.pdf</t>
  </si>
  <si>
    <t>Shares</t>
  </si>
  <si>
    <t xml:space="preserve">$     </t>
  </si>
  <si>
    <t>Adjustments for ratios</t>
  </si>
  <si>
    <t xml:space="preserve">  Cash</t>
  </si>
  <si>
    <t>Q4</t>
  </si>
  <si>
    <t>LOC</t>
  </si>
  <si>
    <t>net debt</t>
  </si>
  <si>
    <t>convertible debentures</t>
  </si>
  <si>
    <t>Interest adj (timing)</t>
  </si>
  <si>
    <t>Net inc/(loss)-disc Ops</t>
  </si>
  <si>
    <t>Balancing adjustment</t>
  </si>
  <si>
    <t>Accumulated unpaid dividends - C &amp; D's</t>
  </si>
  <si>
    <t>Online - quarterly change (+/-)</t>
  </si>
  <si>
    <t>Print    - quarterly change (+/-)</t>
  </si>
  <si>
    <t>Preferred</t>
  </si>
  <si>
    <t>Yellow Media</t>
  </si>
  <si>
    <t>Revised: March 8, 2012</t>
  </si>
  <si>
    <t>Enter the changes in decimals</t>
  </si>
  <si>
    <t xml:space="preserve">  &lt;&lt;&lt;   Note declining margins</t>
  </si>
  <si>
    <t xml:space="preserve">EBITDA Total    </t>
  </si>
  <si>
    <t>Short form prospectus:</t>
  </si>
  <si>
    <t>Other</t>
  </si>
  <si>
    <t>Other finance charges</t>
  </si>
  <si>
    <t>Pension top-up</t>
  </si>
  <si>
    <t xml:space="preserve">Income Taxes </t>
  </si>
  <si>
    <t>Change in operating assets/liabilities</t>
  </si>
  <si>
    <t>new</t>
  </si>
  <si>
    <t>2012Q4 conference call blog</t>
  </si>
  <si>
    <t>http://www.theglobeandmail.com/globe-investor/updates-from-yellow-medias-call/article2425917/</t>
  </si>
  <si>
    <t>EBITDA  rate</t>
  </si>
  <si>
    <t>Revised: May 31, 2012</t>
  </si>
  <si>
    <t>Q1</t>
  </si>
  <si>
    <t>OK</t>
  </si>
  <si>
    <t>Revised: Aug 17, 2012</t>
  </si>
  <si>
    <t>Debt remaining</t>
  </si>
  <si>
    <t>Debt change</t>
  </si>
  <si>
    <t>Quarterly</t>
  </si>
  <si>
    <t>Revised: Dec 29, 2012</t>
  </si>
  <si>
    <t>Recapitalization costs</t>
  </si>
  <si>
    <t>Restructuring costs</t>
  </si>
  <si>
    <t>PRO-FORMA - POST RECAP</t>
  </si>
  <si>
    <t>Secured notes - 9.25%</t>
  </si>
  <si>
    <t>New Debentures - 8%</t>
  </si>
  <si>
    <t>Recapitalizaion Adjustment</t>
  </si>
  <si>
    <t>Debentures  - new - 8%</t>
  </si>
  <si>
    <t>New Secured notes - 9.25%</t>
  </si>
  <si>
    <t>Warrants</t>
  </si>
  <si>
    <t>http://www.ypg.com/images/ckeditor/files/Warrant%20Indenture%20%28SEDAR%20Version%29.pdf</t>
  </si>
  <si>
    <t>Debentures (new)</t>
  </si>
  <si>
    <t>http://www.ypg.com/images/ckeditor/files/Trust%20Indenture%20re%20Senior%20Subordinated%20Exchangeable%20Debentures%20%28SEDAR%20Version%29.pdf</t>
  </si>
  <si>
    <t>Secured notes</t>
  </si>
  <si>
    <t>http://www.ypg.com/images/ckeditor/files/Trust%20Indenture%20re%20Senior%20Secured%20Notes%20%28SEDAR%20Version%29.pdf</t>
  </si>
  <si>
    <t>Pre-RECAP</t>
  </si>
  <si>
    <t>Common shares outstanding:</t>
  </si>
  <si>
    <t>Earnings (net)</t>
  </si>
  <si>
    <t>EPS from continuing operations (annualized)</t>
  </si>
  <si>
    <t>EBITDA / share (annualized)</t>
  </si>
  <si>
    <t>Adjusted earnings from continuing ops</t>
  </si>
  <si>
    <t>Revised:  Feb 12, 2013</t>
  </si>
  <si>
    <t>Cash flow from continuing operations (MM's)</t>
  </si>
  <si>
    <t>Free cash flow from cont. ops (MM's)</t>
  </si>
  <si>
    <t>CF per share (qtr)</t>
  </si>
  <si>
    <t>Free CF per share (qtr)</t>
  </si>
  <si>
    <t>Disclaimer:</t>
  </si>
  <si>
    <t>should exercise caution in relying on this information for investment purposes.  Do your own due diligence.</t>
  </si>
  <si>
    <t>Information has been selectively gleened from the financial statement, MD&amp;A, and the supplemental disclosure.</t>
  </si>
  <si>
    <t xml:space="preserve">Due to a lack of clairity from YPG management, some of the details may be subject to interpretation and as such, one </t>
  </si>
  <si>
    <t>2012-Q4  -  POST RECAP</t>
  </si>
  <si>
    <t xml:space="preserve">    (EBITDA less Dep'n / Amortization)</t>
  </si>
  <si>
    <t>Free CF per share (yr)</t>
  </si>
  <si>
    <t>Net Debt / EBITDA</t>
  </si>
  <si>
    <t>2013-Q1  -  POST RECAP</t>
  </si>
  <si>
    <t>Revised:   May 21, 2013</t>
  </si>
  <si>
    <t>Share price</t>
  </si>
  <si>
    <t>P/E ratio (annualized earnings)</t>
  </si>
  <si>
    <t>Accumulated flow (cash on hand)</t>
  </si>
  <si>
    <t>Stock based compensation</t>
  </si>
  <si>
    <t>2013-Q2  -  POST RECAP</t>
  </si>
  <si>
    <t>Revised:   August 8, 2013</t>
  </si>
  <si>
    <t>Net Debt</t>
  </si>
  <si>
    <t>Worst Case Price Projections</t>
  </si>
  <si>
    <t>EV/EBITDA</t>
  </si>
  <si>
    <t>2. Savings from conversion of debentures</t>
  </si>
  <si>
    <t>Share Price</t>
  </si>
  <si>
    <t>Q/Q Revenue Decline Rate</t>
  </si>
  <si>
    <t>*This table ignores the cumulative impact of interest cost savings from:</t>
  </si>
  <si>
    <t>Notes:</t>
  </si>
  <si>
    <t>D/EBITDA</t>
  </si>
  <si>
    <t>Run Rate EBITDA</t>
  </si>
  <si>
    <t>1. Refinancing Senior Notes at Lower Interest Rate (Likely Before Q2 2014)</t>
  </si>
  <si>
    <t>*Conversion of Convertible Debentures Happens in Q4 2013 as SP &gt; $19.04</t>
  </si>
  <si>
    <t>--- These savings are estimated to be around $30M/annum</t>
  </si>
  <si>
    <t>LFCF Yield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</si>
</sst>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&quot;$&quot;#,##0.00"/>
    <numFmt numFmtId="175" formatCode="#,##0.0"/>
    <numFmt numFmtId="176" formatCode="0.0%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0.0;[Red]0.0"/>
    <numFmt numFmtId="181" formatCode="0.0_ ;[Red]\-0.0\ "/>
    <numFmt numFmtId="182" formatCode="0_ ;[Red]\-0\ 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;[Red]\-0.00\ "/>
    <numFmt numFmtId="189" formatCode="&quot;$&quot;#,##0.0"/>
    <numFmt numFmtId="190" formatCode="_-* #,##0.0_-;\-* #,##0.0_-;_-* &quot;-&quot;?_-;_-@_-"/>
    <numFmt numFmtId="191" formatCode="0.0000;[Red]0.0000"/>
    <numFmt numFmtId="192" formatCode="0.00000000"/>
    <numFmt numFmtId="193" formatCode="0.000000000"/>
    <numFmt numFmtId="194" formatCode="0.0000000000"/>
    <numFmt numFmtId="195" formatCode="0.0000000"/>
    <numFmt numFmtId="196" formatCode="0.000000"/>
    <numFmt numFmtId="197" formatCode="0.00000"/>
    <numFmt numFmtId="198" formatCode="_-&quot;$&quot;* #,##0.000_-;\-&quot;$&quot;* #,##0.000_-;_-&quot;$&quot;* &quot;-&quot;??_-;_-@_-"/>
    <numFmt numFmtId="199" formatCode="_-&quot;$&quot;* #,##0.0_-;\-&quot;$&quot;* #,##0.0_-;_-&quot;$&quot;* &quot;-&quot;??_-;_-@_-"/>
    <numFmt numFmtId="200" formatCode="_-&quot;$&quot;* #,##0_-;\-&quot;$&quot;* #,##0_-;_-&quot;$&quot;* &quot;-&quot;??_-;_-@_-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2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b/>
      <sz val="16"/>
      <name val="Arial Black"/>
      <family val="2"/>
    </font>
    <font>
      <b/>
      <sz val="16"/>
      <name val="Arial"/>
      <family val="2"/>
    </font>
    <font>
      <sz val="9"/>
      <name val="Arial"/>
      <family val="0"/>
    </font>
    <font>
      <b/>
      <sz val="20"/>
      <name val="Arial Black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1"/>
      <color indexed="10"/>
      <name val="Arial"/>
      <family val="2"/>
    </font>
    <font>
      <sz val="13"/>
      <name val="Arial"/>
      <family val="0"/>
    </font>
    <font>
      <b/>
      <sz val="13"/>
      <color indexed="10"/>
      <name val="Arial"/>
      <family val="0"/>
    </font>
    <font>
      <b/>
      <sz val="13"/>
      <name val="Arial"/>
      <family val="0"/>
    </font>
    <font>
      <b/>
      <sz val="12"/>
      <name val="Arial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sz val="14"/>
      <color indexed="10"/>
      <name val="Tahoma"/>
      <family val="2"/>
    </font>
    <font>
      <b/>
      <sz val="12"/>
      <color indexed="10"/>
      <name val="Arial"/>
      <family val="2"/>
    </font>
    <font>
      <b/>
      <sz val="16"/>
      <color indexed="10"/>
      <name val="Tahoma"/>
      <family val="2"/>
    </font>
    <font>
      <b/>
      <sz val="20"/>
      <color indexed="62"/>
      <name val="Arial"/>
      <family val="2"/>
    </font>
    <font>
      <b/>
      <u val="single"/>
      <sz val="14"/>
      <color indexed="10"/>
      <name val="Arial"/>
      <family val="2"/>
    </font>
    <font>
      <b/>
      <sz val="12"/>
      <color indexed="21"/>
      <name val="Arial"/>
      <family val="2"/>
    </font>
    <font>
      <b/>
      <sz val="20"/>
      <color indexed="21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4"/>
      <name val="Tahoma"/>
      <family val="2"/>
    </font>
    <font>
      <b/>
      <sz val="12"/>
      <color indexed="17"/>
      <name val="Arial"/>
      <family val="0"/>
    </font>
    <font>
      <b/>
      <sz val="16"/>
      <color indexed="8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/>
    </xf>
    <xf numFmtId="172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 horizontal="right"/>
    </xf>
    <xf numFmtId="173" fontId="0" fillId="0" borderId="10" xfId="0" applyNumberFormat="1" applyFill="1" applyBorder="1" applyAlignment="1">
      <alignment horizontal="right"/>
    </xf>
    <xf numFmtId="173" fontId="0" fillId="0" borderId="0" xfId="0" applyNumberFormat="1" applyAlignment="1">
      <alignment/>
    </xf>
    <xf numFmtId="17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24" borderId="0" xfId="0" applyFont="1" applyFill="1" applyAlignment="1">
      <alignment horizontal="right"/>
    </xf>
    <xf numFmtId="0" fontId="2" fillId="25" borderId="0" xfId="0" applyFont="1" applyFill="1" applyAlignment="1">
      <alignment horizontal="right"/>
    </xf>
    <xf numFmtId="0" fontId="2" fillId="7" borderId="0" xfId="0" applyFont="1" applyFill="1" applyAlignment="1">
      <alignment horizontal="right"/>
    </xf>
    <xf numFmtId="17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173" fontId="2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13" xfId="0" applyNumberFormat="1" applyFont="1" applyFill="1" applyBorder="1" applyAlignment="1">
      <alignment horizontal="right"/>
    </xf>
    <xf numFmtId="173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3" fontId="2" fillId="0" borderId="0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72" fontId="2" fillId="4" borderId="0" xfId="0" applyNumberFormat="1" applyFont="1" applyFill="1" applyAlignment="1">
      <alignment horizontal="right"/>
    </xf>
    <xf numFmtId="1" fontId="3" fillId="4" borderId="0" xfId="0" applyNumberFormat="1" applyFont="1" applyFill="1" applyAlignment="1">
      <alignment horizontal="right"/>
    </xf>
    <xf numFmtId="172" fontId="3" fillId="4" borderId="0" xfId="0" applyNumberFormat="1" applyFont="1" applyFill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73" fontId="2" fillId="0" borderId="16" xfId="0" applyNumberFormat="1" applyFont="1" applyFill="1" applyBorder="1" applyAlignment="1">
      <alignment horizontal="right"/>
    </xf>
    <xf numFmtId="173" fontId="2" fillId="0" borderId="15" xfId="0" applyNumberFormat="1" applyFont="1" applyFill="1" applyBorder="1" applyAlignment="1">
      <alignment horizontal="right"/>
    </xf>
    <xf numFmtId="173" fontId="0" fillId="0" borderId="15" xfId="0" applyNumberFormat="1" applyFill="1" applyBorder="1" applyAlignment="1">
      <alignment horizontal="right"/>
    </xf>
    <xf numFmtId="173" fontId="0" fillId="0" borderId="17" xfId="0" applyNumberForma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173" fontId="0" fillId="0" borderId="15" xfId="0" applyNumberFormat="1" applyBorder="1" applyAlignment="1">
      <alignment/>
    </xf>
    <xf numFmtId="173" fontId="2" fillId="0" borderId="18" xfId="0" applyNumberFormat="1" applyFont="1" applyBorder="1" applyAlignment="1">
      <alignment/>
    </xf>
    <xf numFmtId="173" fontId="2" fillId="0" borderId="17" xfId="0" applyNumberFormat="1" applyFont="1" applyBorder="1" applyAlignment="1">
      <alignment/>
    </xf>
    <xf numFmtId="0" fontId="3" fillId="4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>
      <alignment/>
    </xf>
    <xf numFmtId="175" fontId="2" fillId="0" borderId="13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2" fontId="2" fillId="0" borderId="13" xfId="0" applyNumberFormat="1" applyFont="1" applyBorder="1" applyAlignment="1">
      <alignment/>
    </xf>
    <xf numFmtId="0" fontId="3" fillId="14" borderId="0" xfId="0" applyFont="1" applyFill="1" applyAlignment="1">
      <alignment/>
    </xf>
    <xf numFmtId="0" fontId="0" fillId="14" borderId="0" xfId="0" applyFill="1" applyAlignment="1">
      <alignment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right"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/>
    </xf>
    <xf numFmtId="0" fontId="2" fillId="15" borderId="0" xfId="0" applyFont="1" applyFill="1" applyAlignment="1">
      <alignment/>
    </xf>
    <xf numFmtId="0" fontId="2" fillId="15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173" fontId="8" fillId="24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2" fontId="8" fillId="2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73" fontId="2" fillId="20" borderId="15" xfId="0" applyNumberFormat="1" applyFont="1" applyFill="1" applyBorder="1" applyAlignment="1">
      <alignment horizontal="right"/>
    </xf>
    <xf numFmtId="9" fontId="0" fillId="0" borderId="0" xfId="0" applyNumberFormat="1" applyFill="1" applyAlignment="1">
      <alignment horizontal="right"/>
    </xf>
    <xf numFmtId="9" fontId="0" fillId="0" borderId="15" xfId="0" applyNumberFormat="1" applyFill="1" applyBorder="1" applyAlignment="1">
      <alignment horizontal="right"/>
    </xf>
    <xf numFmtId="10" fontId="0" fillId="0" borderId="0" xfId="0" applyNumberFormat="1" applyFill="1" applyAlignment="1">
      <alignment horizontal="right"/>
    </xf>
    <xf numFmtId="10" fontId="9" fillId="0" borderId="0" xfId="0" applyNumberFormat="1" applyFont="1" applyFill="1" applyAlignment="1">
      <alignment horizontal="right"/>
    </xf>
    <xf numFmtId="173" fontId="2" fillId="20" borderId="18" xfId="0" applyNumberFormat="1" applyFont="1" applyFill="1" applyBorder="1" applyAlignment="1">
      <alignment horizontal="right"/>
    </xf>
    <xf numFmtId="173" fontId="2" fillId="20" borderId="0" xfId="0" applyNumberFormat="1" applyFont="1" applyFill="1" applyBorder="1" applyAlignment="1">
      <alignment horizontal="right"/>
    </xf>
    <xf numFmtId="173" fontId="2" fillId="20" borderId="13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11" fillId="0" borderId="0" xfId="53" applyAlignment="1" applyProtection="1">
      <alignment/>
      <protection/>
    </xf>
    <xf numFmtId="171" fontId="0" fillId="0" borderId="0" xfId="42" applyFont="1" applyAlignment="1">
      <alignment/>
    </xf>
    <xf numFmtId="179" fontId="0" fillId="0" borderId="0" xfId="42" applyNumberFormat="1" applyFont="1" applyAlignment="1">
      <alignment/>
    </xf>
    <xf numFmtId="0" fontId="13" fillId="24" borderId="2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right"/>
    </xf>
    <xf numFmtId="0" fontId="3" fillId="14" borderId="10" xfId="0" applyFont="1" applyFill="1" applyBorder="1" applyAlignment="1">
      <alignment/>
    </xf>
    <xf numFmtId="0" fontId="2" fillId="14" borderId="1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14" borderId="10" xfId="0" applyFill="1" applyBorder="1" applyAlignment="1">
      <alignment/>
    </xf>
    <xf numFmtId="1" fontId="0" fillId="0" borderId="13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16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10" fontId="15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176" fontId="0" fillId="0" borderId="15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176" fontId="0" fillId="0" borderId="0" xfId="0" applyNumberForma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81" fontId="2" fillId="0" borderId="18" xfId="0" applyNumberFormat="1" applyFont="1" applyBorder="1" applyAlignment="1">
      <alignment/>
    </xf>
    <xf numFmtId="181" fontId="2" fillId="0" borderId="13" xfId="0" applyNumberFormat="1" applyFont="1" applyBorder="1" applyAlignment="1">
      <alignment/>
    </xf>
    <xf numFmtId="181" fontId="2" fillId="24" borderId="17" xfId="0" applyNumberFormat="1" applyFont="1" applyFill="1" applyBorder="1" applyAlignment="1">
      <alignment/>
    </xf>
    <xf numFmtId="181" fontId="2" fillId="24" borderId="0" xfId="0" applyNumberFormat="1" applyFont="1" applyFill="1" applyAlignment="1">
      <alignment/>
    </xf>
    <xf numFmtId="181" fontId="2" fillId="24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4" borderId="21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173" fontId="2" fillId="4" borderId="22" xfId="0" applyNumberFormat="1" applyFont="1" applyFill="1" applyBorder="1" applyAlignment="1">
      <alignment/>
    </xf>
    <xf numFmtId="173" fontId="2" fillId="4" borderId="23" xfId="0" applyNumberFormat="1" applyFont="1" applyFill="1" applyBorder="1" applyAlignment="1">
      <alignment/>
    </xf>
    <xf numFmtId="173" fontId="2" fillId="26" borderId="0" xfId="0" applyNumberFormat="1" applyFont="1" applyFill="1" applyAlignment="1">
      <alignment horizontal="right"/>
    </xf>
    <xf numFmtId="176" fontId="38" fillId="0" borderId="0" xfId="0" applyNumberFormat="1" applyFont="1" applyFill="1" applyBorder="1" applyAlignment="1">
      <alignment horizontal="left"/>
    </xf>
    <xf numFmtId="0" fontId="39" fillId="0" borderId="0" xfId="0" applyFont="1" applyAlignment="1">
      <alignment horizontal="right"/>
    </xf>
    <xf numFmtId="0" fontId="40" fillId="0" borderId="24" xfId="0" applyFont="1" applyBorder="1" applyAlignment="1">
      <alignment horizontal="left"/>
    </xf>
    <xf numFmtId="0" fontId="40" fillId="0" borderId="25" xfId="0" applyFont="1" applyBorder="1" applyAlignment="1">
      <alignment horizontal="right"/>
    </xf>
    <xf numFmtId="10" fontId="40" fillId="0" borderId="25" xfId="0" applyNumberFormat="1" applyFont="1" applyBorder="1" applyAlignment="1">
      <alignment horizontal="right"/>
    </xf>
    <xf numFmtId="10" fontId="40" fillId="0" borderId="26" xfId="0" applyNumberFormat="1" applyFont="1" applyBorder="1" applyAlignment="1">
      <alignment horizontal="right"/>
    </xf>
    <xf numFmtId="1" fontId="39" fillId="0" borderId="0" xfId="0" applyNumberFormat="1" applyFont="1" applyAlignment="1">
      <alignment horizontal="right"/>
    </xf>
    <xf numFmtId="172" fontId="39" fillId="0" borderId="0" xfId="0" applyNumberFormat="1" applyFont="1" applyAlignment="1">
      <alignment horizontal="right"/>
    </xf>
    <xf numFmtId="0" fontId="41" fillId="0" borderId="24" xfId="0" applyFont="1" applyBorder="1" applyAlignment="1">
      <alignment horizontal="left"/>
    </xf>
    <xf numFmtId="0" fontId="41" fillId="0" borderId="25" xfId="0" applyFont="1" applyBorder="1" applyAlignment="1">
      <alignment horizontal="right"/>
    </xf>
    <xf numFmtId="10" fontId="41" fillId="0" borderId="25" xfId="0" applyNumberFormat="1" applyFont="1" applyBorder="1" applyAlignment="1">
      <alignment horizontal="right"/>
    </xf>
    <xf numFmtId="10" fontId="41" fillId="0" borderId="26" xfId="0" applyNumberFormat="1" applyFont="1" applyBorder="1" applyAlignment="1">
      <alignment horizontal="right"/>
    </xf>
    <xf numFmtId="181" fontId="2" fillId="24" borderId="0" xfId="0" applyNumberFormat="1" applyFont="1" applyFill="1" applyBorder="1" applyAlignment="1">
      <alignment/>
    </xf>
    <xf numFmtId="173" fontId="2" fillId="4" borderId="0" xfId="0" applyNumberFormat="1" applyFont="1" applyFill="1" applyBorder="1" applyAlignment="1">
      <alignment/>
    </xf>
    <xf numFmtId="173" fontId="2" fillId="24" borderId="13" xfId="0" applyNumberFormat="1" applyFont="1" applyFill="1" applyBorder="1" applyAlignment="1">
      <alignment horizontal="right"/>
    </xf>
    <xf numFmtId="173" fontId="2" fillId="11" borderId="0" xfId="0" applyNumberFormat="1" applyFont="1" applyFill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9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/>
    </xf>
    <xf numFmtId="173" fontId="0" fillId="0" borderId="0" xfId="0" applyNumberFormat="1" applyFill="1" applyBorder="1" applyAlignment="1">
      <alignment horizontal="right"/>
    </xf>
    <xf numFmtId="173" fontId="0" fillId="0" borderId="0" xfId="0" applyNumberFormat="1" applyBorder="1" applyAlignment="1">
      <alignment/>
    </xf>
    <xf numFmtId="181" fontId="2" fillId="24" borderId="10" xfId="0" applyNumberFormat="1" applyFont="1" applyFill="1" applyBorder="1" applyAlignment="1">
      <alignment/>
    </xf>
    <xf numFmtId="0" fontId="2" fillId="24" borderId="14" xfId="0" applyFont="1" applyFill="1" applyBorder="1" applyAlignment="1">
      <alignment horizontal="right"/>
    </xf>
    <xf numFmtId="10" fontId="15" fillId="0" borderId="15" xfId="0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173" fontId="0" fillId="4" borderId="15" xfId="0" applyNumberFormat="1" applyFill="1" applyBorder="1" applyAlignment="1">
      <alignment horizontal="right"/>
    </xf>
    <xf numFmtId="10" fontId="0" fillId="4" borderId="15" xfId="0" applyNumberFormat="1" applyFill="1" applyBorder="1" applyAlignment="1">
      <alignment horizontal="right"/>
    </xf>
    <xf numFmtId="176" fontId="0" fillId="4" borderId="15" xfId="0" applyNumberFormat="1" applyFill="1" applyBorder="1" applyAlignment="1">
      <alignment horizontal="right"/>
    </xf>
    <xf numFmtId="10" fontId="9" fillId="4" borderId="15" xfId="0" applyNumberFormat="1" applyFont="1" applyFill="1" applyBorder="1" applyAlignment="1">
      <alignment horizontal="right"/>
    </xf>
    <xf numFmtId="173" fontId="2" fillId="4" borderId="15" xfId="0" applyNumberFormat="1" applyFont="1" applyFill="1" applyBorder="1" applyAlignment="1">
      <alignment horizontal="right"/>
    </xf>
    <xf numFmtId="176" fontId="2" fillId="4" borderId="15" xfId="0" applyNumberFormat="1" applyFont="1" applyFill="1" applyBorder="1" applyAlignment="1">
      <alignment horizontal="right"/>
    </xf>
    <xf numFmtId="173" fontId="0" fillId="4" borderId="17" xfId="0" applyNumberFormat="1" applyFill="1" applyBorder="1" applyAlignment="1">
      <alignment horizontal="right"/>
    </xf>
    <xf numFmtId="173" fontId="2" fillId="4" borderId="18" xfId="0" applyNumberFormat="1" applyFont="1" applyFill="1" applyBorder="1" applyAlignment="1">
      <alignment horizontal="right"/>
    </xf>
    <xf numFmtId="173" fontId="0" fillId="4" borderId="15" xfId="0" applyNumberFormat="1" applyFill="1" applyBorder="1" applyAlignment="1">
      <alignment/>
    </xf>
    <xf numFmtId="173" fontId="2" fillId="4" borderId="15" xfId="0" applyNumberFormat="1" applyFont="1" applyFill="1" applyBorder="1" applyAlignment="1">
      <alignment/>
    </xf>
    <xf numFmtId="181" fontId="2" fillId="4" borderId="18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2" fillId="4" borderId="15" xfId="0" applyFont="1" applyFill="1" applyBorder="1" applyAlignment="1">
      <alignment horizontal="center"/>
    </xf>
    <xf numFmtId="181" fontId="2" fillId="4" borderId="15" xfId="0" applyNumberFormat="1" applyFont="1" applyFill="1" applyBorder="1" applyAlignment="1">
      <alignment horizontal="right"/>
    </xf>
    <xf numFmtId="10" fontId="41" fillId="0" borderId="11" xfId="0" applyNumberFormat="1" applyFont="1" applyBorder="1" applyAlignment="1">
      <alignment horizontal="right"/>
    </xf>
    <xf numFmtId="10" fontId="40" fillId="0" borderId="11" xfId="0" applyNumberFormat="1" applyFont="1" applyBorder="1" applyAlignment="1">
      <alignment horizontal="right"/>
    </xf>
    <xf numFmtId="10" fontId="41" fillId="0" borderId="24" xfId="0" applyNumberFormat="1" applyFont="1" applyBorder="1" applyAlignment="1">
      <alignment horizontal="right"/>
    </xf>
    <xf numFmtId="10" fontId="40" fillId="0" borderId="24" xfId="0" applyNumberFormat="1" applyFont="1" applyBorder="1" applyAlignment="1">
      <alignment horizontal="right"/>
    </xf>
    <xf numFmtId="10" fontId="41" fillId="0" borderId="27" xfId="0" applyNumberFormat="1" applyFont="1" applyBorder="1" applyAlignment="1">
      <alignment horizontal="right"/>
    </xf>
    <xf numFmtId="10" fontId="40" fillId="0" borderId="27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1" fillId="0" borderId="26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3" fontId="2" fillId="20" borderId="28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10" fontId="9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81" fontId="2" fillId="0" borderId="13" xfId="0" applyNumberFormat="1" applyFont="1" applyFill="1" applyBorder="1" applyAlignment="1">
      <alignment/>
    </xf>
    <xf numFmtId="0" fontId="2" fillId="3" borderId="29" xfId="0" applyFont="1" applyFill="1" applyBorder="1" applyAlignment="1">
      <alignment horizontal="right"/>
    </xf>
    <xf numFmtId="10" fontId="40" fillId="0" borderId="30" xfId="0" applyNumberFormat="1" applyFont="1" applyBorder="1" applyAlignment="1">
      <alignment horizontal="right"/>
    </xf>
    <xf numFmtId="0" fontId="10" fillId="0" borderId="31" xfId="0" applyFont="1" applyBorder="1" applyAlignment="1">
      <alignment/>
    </xf>
    <xf numFmtId="0" fontId="42" fillId="4" borderId="32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0" fillId="4" borderId="32" xfId="0" applyFill="1" applyBorder="1" applyAlignment="1">
      <alignment horizontal="right"/>
    </xf>
    <xf numFmtId="173" fontId="0" fillId="4" borderId="32" xfId="0" applyNumberFormat="1" applyFill="1" applyBorder="1" applyAlignment="1">
      <alignment horizontal="right"/>
    </xf>
    <xf numFmtId="10" fontId="0" fillId="4" borderId="32" xfId="0" applyNumberFormat="1" applyFill="1" applyBorder="1" applyAlignment="1">
      <alignment horizontal="right"/>
    </xf>
    <xf numFmtId="176" fontId="0" fillId="4" borderId="32" xfId="0" applyNumberFormat="1" applyFill="1" applyBorder="1" applyAlignment="1">
      <alignment horizontal="right"/>
    </xf>
    <xf numFmtId="173" fontId="2" fillId="20" borderId="32" xfId="0" applyNumberFormat="1" applyFont="1" applyFill="1" applyBorder="1" applyAlignment="1">
      <alignment horizontal="right"/>
    </xf>
    <xf numFmtId="10" fontId="9" fillId="4" borderId="32" xfId="0" applyNumberFormat="1" applyFont="1" applyFill="1" applyBorder="1" applyAlignment="1">
      <alignment horizontal="right"/>
    </xf>
    <xf numFmtId="173" fontId="2" fillId="4" borderId="32" xfId="0" applyNumberFormat="1" applyFont="1" applyFill="1" applyBorder="1" applyAlignment="1">
      <alignment horizontal="right"/>
    </xf>
    <xf numFmtId="173" fontId="2" fillId="20" borderId="33" xfId="0" applyNumberFormat="1" applyFont="1" applyFill="1" applyBorder="1" applyAlignment="1">
      <alignment horizontal="right"/>
    </xf>
    <xf numFmtId="176" fontId="2" fillId="4" borderId="32" xfId="0" applyNumberFormat="1" applyFont="1" applyFill="1" applyBorder="1" applyAlignment="1">
      <alignment horizontal="right"/>
    </xf>
    <xf numFmtId="173" fontId="0" fillId="4" borderId="34" xfId="0" applyNumberFormat="1" applyFill="1" applyBorder="1" applyAlignment="1">
      <alignment horizontal="right"/>
    </xf>
    <xf numFmtId="173" fontId="2" fillId="4" borderId="33" xfId="0" applyNumberFormat="1" applyFont="1" applyFill="1" applyBorder="1" applyAlignment="1">
      <alignment horizontal="right"/>
    </xf>
    <xf numFmtId="173" fontId="0" fillId="4" borderId="32" xfId="0" applyNumberFormat="1" applyFill="1" applyBorder="1" applyAlignment="1">
      <alignment/>
    </xf>
    <xf numFmtId="181" fontId="2" fillId="4" borderId="33" xfId="0" applyNumberFormat="1" applyFont="1" applyFill="1" applyBorder="1" applyAlignment="1">
      <alignment/>
    </xf>
    <xf numFmtId="181" fontId="2" fillId="24" borderId="35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/>
    </xf>
    <xf numFmtId="0" fontId="42" fillId="25" borderId="21" xfId="0" applyFont="1" applyFill="1" applyBorder="1" applyAlignment="1">
      <alignment/>
    </xf>
    <xf numFmtId="182" fontId="42" fillId="25" borderId="22" xfId="0" applyNumberFormat="1" applyFont="1" applyFill="1" applyBorder="1" applyAlignment="1">
      <alignment/>
    </xf>
    <xf numFmtId="182" fontId="42" fillId="25" borderId="23" xfId="0" applyNumberFormat="1" applyFont="1" applyFill="1" applyBorder="1" applyAlignment="1">
      <alignment/>
    </xf>
    <xf numFmtId="1" fontId="42" fillId="0" borderId="0" xfId="0" applyNumberFormat="1" applyFont="1" applyFill="1" applyAlignment="1">
      <alignment/>
    </xf>
    <xf numFmtId="172" fontId="42" fillId="0" borderId="0" xfId="0" applyNumberFormat="1" applyFont="1" applyFill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1" fontId="42" fillId="0" borderId="0" xfId="0" applyNumberFormat="1" applyFont="1" applyAlignment="1">
      <alignment/>
    </xf>
    <xf numFmtId="172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73" fontId="47" fillId="0" borderId="0" xfId="0" applyNumberFormat="1" applyFont="1" applyFill="1" applyBorder="1" applyAlignment="1">
      <alignment horizontal="left"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3" fillId="24" borderId="0" xfId="0" applyFont="1" applyFill="1" applyAlignment="1">
      <alignment horizontal="right"/>
    </xf>
    <xf numFmtId="0" fontId="0" fillId="0" borderId="31" xfId="0" applyBorder="1" applyAlignment="1">
      <alignment/>
    </xf>
    <xf numFmtId="0" fontId="10" fillId="0" borderId="0" xfId="0" applyFont="1" applyBorder="1" applyAlignment="1">
      <alignment/>
    </xf>
    <xf numFmtId="0" fontId="2" fillId="24" borderId="0" xfId="0" applyFont="1" applyFill="1" applyBorder="1" applyAlignment="1">
      <alignment horizontal="right"/>
    </xf>
    <xf numFmtId="176" fontId="2" fillId="25" borderId="0" xfId="0" applyNumberFormat="1" applyFont="1" applyFill="1" applyBorder="1" applyAlignment="1">
      <alignment horizontal="right"/>
    </xf>
    <xf numFmtId="176" fontId="2" fillId="24" borderId="0" xfId="0" applyNumberFormat="1" applyFont="1" applyFill="1" applyBorder="1" applyAlignment="1">
      <alignment horizontal="right"/>
    </xf>
    <xf numFmtId="176" fontId="2" fillId="24" borderId="32" xfId="0" applyNumberFormat="1" applyFont="1" applyFill="1" applyBorder="1" applyAlignment="1">
      <alignment horizontal="right"/>
    </xf>
    <xf numFmtId="173" fontId="2" fillId="24" borderId="33" xfId="0" applyNumberFormat="1" applyFont="1" applyFill="1" applyBorder="1" applyAlignment="1">
      <alignment horizontal="right"/>
    </xf>
    <xf numFmtId="181" fontId="2" fillId="24" borderId="13" xfId="0" applyNumberFormat="1" applyFont="1" applyFill="1" applyBorder="1" applyAlignment="1">
      <alignment/>
    </xf>
    <xf numFmtId="181" fontId="2" fillId="24" borderId="33" xfId="0" applyNumberFormat="1" applyFont="1" applyFill="1" applyBorder="1" applyAlignment="1">
      <alignment/>
    </xf>
    <xf numFmtId="173" fontId="2" fillId="25" borderId="13" xfId="0" applyNumberFormat="1" applyFont="1" applyFill="1" applyBorder="1" applyAlignment="1">
      <alignment horizontal="right"/>
    </xf>
    <xf numFmtId="181" fontId="2" fillId="0" borderId="11" xfId="0" applyNumberFormat="1" applyFont="1" applyFill="1" applyBorder="1" applyAlignment="1">
      <alignment/>
    </xf>
    <xf numFmtId="181" fontId="2" fillId="25" borderId="13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173" fontId="0" fillId="4" borderId="36" xfId="0" applyNumberFormat="1" applyFill="1" applyBorder="1" applyAlignment="1">
      <alignment/>
    </xf>
    <xf numFmtId="176" fontId="2" fillId="7" borderId="0" xfId="0" applyNumberFormat="1" applyFont="1" applyFill="1" applyBorder="1" applyAlignment="1">
      <alignment horizontal="right"/>
    </xf>
    <xf numFmtId="173" fontId="2" fillId="7" borderId="13" xfId="0" applyNumberFormat="1" applyFont="1" applyFill="1" applyBorder="1" applyAlignment="1">
      <alignment horizontal="right"/>
    </xf>
    <xf numFmtId="181" fontId="2" fillId="7" borderId="13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4" borderId="31" xfId="0" applyFill="1" applyBorder="1" applyAlignment="1">
      <alignment/>
    </xf>
    <xf numFmtId="181" fontId="2" fillId="4" borderId="35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52" fillId="4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173" fontId="42" fillId="7" borderId="11" xfId="0" applyNumberFormat="1" applyFont="1" applyFill="1" applyBorder="1" applyAlignment="1">
      <alignment/>
    </xf>
    <xf numFmtId="1" fontId="53" fillId="0" borderId="0" xfId="0" applyNumberFormat="1" applyFont="1" applyBorder="1" applyAlignment="1">
      <alignment horizontal="right"/>
    </xf>
    <xf numFmtId="173" fontId="53" fillId="0" borderId="0" xfId="0" applyNumberFormat="1" applyFont="1" applyBorder="1" applyAlignment="1">
      <alignment/>
    </xf>
    <xf numFmtId="173" fontId="53" fillId="0" borderId="0" xfId="0" applyNumberFormat="1" applyFont="1" applyFill="1" applyBorder="1" applyAlignment="1">
      <alignment/>
    </xf>
    <xf numFmtId="173" fontId="53" fillId="4" borderId="36" xfId="0" applyNumberFormat="1" applyFont="1" applyFill="1" applyBorder="1" applyAlignment="1">
      <alignment/>
    </xf>
    <xf numFmtId="17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47" fillId="0" borderId="0" xfId="0" applyFont="1" applyAlignment="1">
      <alignment/>
    </xf>
    <xf numFmtId="0" fontId="0" fillId="24" borderId="24" xfId="0" applyFill="1" applyBorder="1" applyAlignment="1">
      <alignment/>
    </xf>
    <xf numFmtId="0" fontId="4" fillId="24" borderId="25" xfId="0" applyFont="1" applyFill="1" applyBorder="1" applyAlignment="1">
      <alignment horizontal="center"/>
    </xf>
    <xf numFmtId="0" fontId="0" fillId="24" borderId="25" xfId="0" applyFill="1" applyBorder="1" applyAlignment="1">
      <alignment/>
    </xf>
    <xf numFmtId="0" fontId="49" fillId="24" borderId="25" xfId="0" applyFont="1" applyFill="1" applyBorder="1" applyAlignment="1">
      <alignment horizontal="center"/>
    </xf>
    <xf numFmtId="0" fontId="0" fillId="24" borderId="26" xfId="0" applyFill="1" applyBorder="1" applyAlignment="1">
      <alignment/>
    </xf>
    <xf numFmtId="0" fontId="42" fillId="8" borderId="0" xfId="0" applyFont="1" applyFill="1" applyAlignment="1">
      <alignment horizontal="center"/>
    </xf>
    <xf numFmtId="0" fontId="2" fillId="8" borderId="0" xfId="0" applyFont="1" applyFill="1" applyAlignment="1">
      <alignment horizontal="right"/>
    </xf>
    <xf numFmtId="176" fontId="2" fillId="8" borderId="0" xfId="0" applyNumberFormat="1" applyFont="1" applyFill="1" applyBorder="1" applyAlignment="1">
      <alignment horizontal="right"/>
    </xf>
    <xf numFmtId="173" fontId="2" fillId="8" borderId="13" xfId="0" applyNumberFormat="1" applyFont="1" applyFill="1" applyBorder="1" applyAlignment="1">
      <alignment horizontal="right"/>
    </xf>
    <xf numFmtId="181" fontId="2" fillId="8" borderId="13" xfId="0" applyNumberFormat="1" applyFont="1" applyFill="1" applyBorder="1" applyAlignment="1">
      <alignment/>
    </xf>
    <xf numFmtId="0" fontId="42" fillId="24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173" fontId="53" fillId="0" borderId="0" xfId="0" applyNumberFormat="1" applyFont="1" applyAlignment="1">
      <alignment/>
    </xf>
    <xf numFmtId="173" fontId="53" fillId="0" borderId="0" xfId="42" applyNumberFormat="1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174" fontId="4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26" borderId="31" xfId="0" applyFill="1" applyBorder="1" applyAlignment="1">
      <alignment/>
    </xf>
    <xf numFmtId="0" fontId="42" fillId="26" borderId="32" xfId="0" applyFont="1" applyFill="1" applyBorder="1" applyAlignment="1">
      <alignment horizontal="center"/>
    </xf>
    <xf numFmtId="0" fontId="0" fillId="26" borderId="32" xfId="0" applyFill="1" applyBorder="1" applyAlignment="1">
      <alignment horizontal="right"/>
    </xf>
    <xf numFmtId="173" fontId="0" fillId="26" borderId="32" xfId="0" applyNumberFormat="1" applyFill="1" applyBorder="1" applyAlignment="1">
      <alignment horizontal="right"/>
    </xf>
    <xf numFmtId="10" fontId="0" fillId="26" borderId="32" xfId="0" applyNumberFormat="1" applyFill="1" applyBorder="1" applyAlignment="1">
      <alignment horizontal="right"/>
    </xf>
    <xf numFmtId="176" fontId="0" fillId="26" borderId="32" xfId="0" applyNumberFormat="1" applyFill="1" applyBorder="1" applyAlignment="1">
      <alignment horizontal="right"/>
    </xf>
    <xf numFmtId="10" fontId="9" fillId="26" borderId="32" xfId="0" applyNumberFormat="1" applyFont="1" applyFill="1" applyBorder="1" applyAlignment="1">
      <alignment horizontal="right"/>
    </xf>
    <xf numFmtId="173" fontId="2" fillId="26" borderId="32" xfId="0" applyNumberFormat="1" applyFont="1" applyFill="1" applyBorder="1" applyAlignment="1">
      <alignment horizontal="right"/>
    </xf>
    <xf numFmtId="173" fontId="0" fillId="26" borderId="34" xfId="0" applyNumberFormat="1" applyFill="1" applyBorder="1" applyAlignment="1">
      <alignment horizontal="right"/>
    </xf>
    <xf numFmtId="173" fontId="0" fillId="26" borderId="32" xfId="0" applyNumberFormat="1" applyFill="1" applyBorder="1" applyAlignment="1">
      <alignment/>
    </xf>
    <xf numFmtId="181" fontId="2" fillId="26" borderId="32" xfId="0" applyNumberFormat="1" applyFont="1" applyFill="1" applyBorder="1" applyAlignment="1">
      <alignment/>
    </xf>
    <xf numFmtId="181" fontId="2" fillId="0" borderId="32" xfId="0" applyNumberFormat="1" applyFont="1" applyFill="1" applyBorder="1" applyAlignment="1">
      <alignment/>
    </xf>
    <xf numFmtId="182" fontId="42" fillId="25" borderId="37" xfId="0" applyNumberFormat="1" applyFont="1" applyFill="1" applyBorder="1" applyAlignment="1">
      <alignment/>
    </xf>
    <xf numFmtId="182" fontId="42" fillId="25" borderId="38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26" borderId="39" xfId="0" applyFont="1" applyFill="1" applyBorder="1" applyAlignment="1">
      <alignment/>
    </xf>
    <xf numFmtId="0" fontId="10" fillId="26" borderId="40" xfId="0" applyFont="1" applyFill="1" applyBorder="1" applyAlignment="1">
      <alignment/>
    </xf>
    <xf numFmtId="0" fontId="10" fillId="26" borderId="41" xfId="0" applyFont="1" applyFill="1" applyBorder="1" applyAlignment="1">
      <alignment/>
    </xf>
    <xf numFmtId="0" fontId="10" fillId="26" borderId="29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189" fontId="10" fillId="26" borderId="0" xfId="0" applyNumberFormat="1" applyFont="1" applyFill="1" applyBorder="1" applyAlignment="1">
      <alignment/>
    </xf>
    <xf numFmtId="0" fontId="10" fillId="26" borderId="28" xfId="0" applyFont="1" applyFill="1" applyBorder="1" applyAlignment="1">
      <alignment/>
    </xf>
    <xf numFmtId="174" fontId="10" fillId="26" borderId="0" xfId="0" applyNumberFormat="1" applyFont="1" applyFill="1" applyBorder="1" applyAlignment="1">
      <alignment/>
    </xf>
    <xf numFmtId="0" fontId="10" fillId="26" borderId="42" xfId="0" applyFont="1" applyFill="1" applyBorder="1" applyAlignment="1">
      <alignment/>
    </xf>
    <xf numFmtId="0" fontId="10" fillId="26" borderId="10" xfId="0" applyFont="1" applyFill="1" applyBorder="1" applyAlignment="1">
      <alignment/>
    </xf>
    <xf numFmtId="174" fontId="10" fillId="26" borderId="10" xfId="0" applyNumberFormat="1" applyFont="1" applyFill="1" applyBorder="1" applyAlignment="1">
      <alignment/>
    </xf>
    <xf numFmtId="0" fontId="10" fillId="26" borderId="43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3" fillId="0" borderId="44" xfId="0" applyFont="1" applyBorder="1" applyAlignment="1">
      <alignment/>
    </xf>
    <xf numFmtId="0" fontId="53" fillId="0" borderId="30" xfId="0" applyFont="1" applyBorder="1" applyAlignment="1">
      <alignment/>
    </xf>
    <xf numFmtId="173" fontId="53" fillId="0" borderId="30" xfId="0" applyNumberFormat="1" applyFont="1" applyBorder="1" applyAlignment="1">
      <alignment/>
    </xf>
    <xf numFmtId="173" fontId="53" fillId="0" borderId="45" xfId="0" applyNumberFormat="1" applyFont="1" applyBorder="1" applyAlignment="1">
      <alignment/>
    </xf>
    <xf numFmtId="0" fontId="53" fillId="0" borderId="36" xfId="0" applyFont="1" applyBorder="1" applyAlignment="1">
      <alignment/>
    </xf>
    <xf numFmtId="0" fontId="53" fillId="0" borderId="0" xfId="0" applyFont="1" applyBorder="1" applyAlignment="1">
      <alignment/>
    </xf>
    <xf numFmtId="173" fontId="53" fillId="0" borderId="0" xfId="0" applyNumberFormat="1" applyFont="1" applyBorder="1" applyAlignment="1">
      <alignment/>
    </xf>
    <xf numFmtId="173" fontId="53" fillId="0" borderId="0" xfId="42" applyNumberFormat="1" applyFont="1" applyBorder="1" applyAlignment="1">
      <alignment/>
    </xf>
    <xf numFmtId="173" fontId="53" fillId="0" borderId="46" xfId="0" applyNumberFormat="1" applyFont="1" applyBorder="1" applyAlignment="1">
      <alignment/>
    </xf>
    <xf numFmtId="0" fontId="53" fillId="0" borderId="46" xfId="0" applyFont="1" applyBorder="1" applyAlignment="1">
      <alignment/>
    </xf>
    <xf numFmtId="0" fontId="42" fillId="0" borderId="47" xfId="0" applyFont="1" applyBorder="1" applyAlignment="1">
      <alignment/>
    </xf>
    <xf numFmtId="0" fontId="42" fillId="0" borderId="48" xfId="0" applyFont="1" applyBorder="1" applyAlignment="1">
      <alignment/>
    </xf>
    <xf numFmtId="174" fontId="42" fillId="0" borderId="48" xfId="0" applyNumberFormat="1" applyFont="1" applyBorder="1" applyAlignment="1">
      <alignment/>
    </xf>
    <xf numFmtId="0" fontId="42" fillId="0" borderId="49" xfId="0" applyFont="1" applyBorder="1" applyAlignment="1">
      <alignment/>
    </xf>
    <xf numFmtId="0" fontId="2" fillId="8" borderId="0" xfId="0" applyFont="1" applyFill="1" applyAlignment="1">
      <alignment horizontal="center"/>
    </xf>
    <xf numFmtId="0" fontId="2" fillId="24" borderId="46" xfId="0" applyFont="1" applyFill="1" applyBorder="1" applyAlignment="1">
      <alignment horizontal="right"/>
    </xf>
    <xf numFmtId="173" fontId="2" fillId="20" borderId="46" xfId="0" applyNumberFormat="1" applyFont="1" applyFill="1" applyBorder="1" applyAlignment="1">
      <alignment horizontal="right"/>
    </xf>
    <xf numFmtId="173" fontId="2" fillId="20" borderId="50" xfId="0" applyNumberFormat="1" applyFont="1" applyFill="1" applyBorder="1" applyAlignment="1">
      <alignment horizontal="right"/>
    </xf>
    <xf numFmtId="176" fontId="2" fillId="24" borderId="46" xfId="0" applyNumberFormat="1" applyFont="1" applyFill="1" applyBorder="1" applyAlignment="1">
      <alignment horizontal="right"/>
    </xf>
    <xf numFmtId="173" fontId="2" fillId="24" borderId="50" xfId="0" applyNumberFormat="1" applyFont="1" applyFill="1" applyBorder="1" applyAlignment="1">
      <alignment horizontal="right"/>
    </xf>
    <xf numFmtId="181" fontId="2" fillId="24" borderId="50" xfId="0" applyNumberFormat="1" applyFont="1" applyFill="1" applyBorder="1" applyAlignment="1">
      <alignment/>
    </xf>
    <xf numFmtId="181" fontId="2" fillId="0" borderId="46" xfId="0" applyNumberFormat="1" applyFont="1" applyFill="1" applyBorder="1" applyAlignment="1">
      <alignment/>
    </xf>
    <xf numFmtId="182" fontId="42" fillId="25" borderId="51" xfId="0" applyNumberFormat="1" applyFont="1" applyFill="1" applyBorder="1" applyAlignment="1">
      <alignment/>
    </xf>
    <xf numFmtId="0" fontId="0" fillId="0" borderId="45" xfId="0" applyFill="1" applyBorder="1" applyAlignment="1">
      <alignment/>
    </xf>
    <xf numFmtId="0" fontId="42" fillId="0" borderId="46" xfId="0" applyFont="1" applyFill="1" applyBorder="1" applyAlignment="1">
      <alignment horizontal="center"/>
    </xf>
    <xf numFmtId="0" fontId="0" fillId="0" borderId="46" xfId="0" applyFill="1" applyBorder="1" applyAlignment="1">
      <alignment horizontal="right"/>
    </xf>
    <xf numFmtId="173" fontId="0" fillId="0" borderId="46" xfId="0" applyNumberFormat="1" applyFill="1" applyBorder="1" applyAlignment="1">
      <alignment horizontal="right"/>
    </xf>
    <xf numFmtId="176" fontId="0" fillId="0" borderId="46" xfId="0" applyNumberFormat="1" applyFill="1" applyBorder="1" applyAlignment="1">
      <alignment horizontal="right"/>
    </xf>
    <xf numFmtId="10" fontId="9" fillId="0" borderId="46" xfId="0" applyNumberFormat="1" applyFont="1" applyFill="1" applyBorder="1" applyAlignment="1">
      <alignment horizontal="right"/>
    </xf>
    <xf numFmtId="173" fontId="2" fillId="0" borderId="46" xfId="0" applyNumberFormat="1" applyFont="1" applyFill="1" applyBorder="1" applyAlignment="1">
      <alignment horizontal="right"/>
    </xf>
    <xf numFmtId="173" fontId="0" fillId="0" borderId="52" xfId="0" applyNumberFormat="1" applyFill="1" applyBorder="1" applyAlignment="1">
      <alignment horizontal="right"/>
    </xf>
    <xf numFmtId="173" fontId="0" fillId="0" borderId="46" xfId="0" applyNumberFormat="1" applyFill="1" applyBorder="1" applyAlignment="1">
      <alignment/>
    </xf>
    <xf numFmtId="0" fontId="2" fillId="25" borderId="32" xfId="0" applyFont="1" applyFill="1" applyBorder="1" applyAlignment="1">
      <alignment horizontal="right"/>
    </xf>
    <xf numFmtId="176" fontId="2" fillId="25" borderId="32" xfId="0" applyNumberFormat="1" applyFont="1" applyFill="1" applyBorder="1" applyAlignment="1">
      <alignment horizontal="right"/>
    </xf>
    <xf numFmtId="173" fontId="2" fillId="25" borderId="33" xfId="0" applyNumberFormat="1" applyFont="1" applyFill="1" applyBorder="1" applyAlignment="1">
      <alignment horizontal="right"/>
    </xf>
    <xf numFmtId="181" fontId="2" fillId="25" borderId="33" xfId="0" applyNumberFormat="1" applyFont="1" applyFill="1" applyBorder="1" applyAlignment="1">
      <alignment/>
    </xf>
    <xf numFmtId="0" fontId="0" fillId="26" borderId="32" xfId="0" applyFill="1" applyBorder="1" applyAlignment="1">
      <alignment/>
    </xf>
    <xf numFmtId="173" fontId="53" fillId="26" borderId="32" xfId="0" applyNumberFormat="1" applyFont="1" applyFill="1" applyBorder="1" applyAlignment="1">
      <alignment/>
    </xf>
    <xf numFmtId="173" fontId="42" fillId="0" borderId="0" xfId="0" applyNumberFormat="1" applyFont="1" applyBorder="1" applyAlignment="1">
      <alignment horizontal="right"/>
    </xf>
    <xf numFmtId="173" fontId="42" fillId="0" borderId="0" xfId="0" applyNumberFormat="1" applyFont="1" applyAlignment="1">
      <alignment horizontal="right"/>
    </xf>
    <xf numFmtId="2" fontId="57" fillId="0" borderId="0" xfId="0" applyNumberFormat="1" applyFont="1" applyAlignment="1">
      <alignment horizontal="center"/>
    </xf>
    <xf numFmtId="190" fontId="42" fillId="0" borderId="0" xfId="42" applyNumberFormat="1" applyFont="1" applyFill="1" applyBorder="1" applyAlignment="1">
      <alignment horizontal="right"/>
    </xf>
    <xf numFmtId="190" fontId="42" fillId="0" borderId="0" xfId="42" applyNumberFormat="1" applyFont="1" applyAlignment="1">
      <alignment horizontal="right"/>
    </xf>
    <xf numFmtId="173" fontId="42" fillId="0" borderId="46" xfId="0" applyNumberFormat="1" applyFont="1" applyFill="1" applyBorder="1" applyAlignment="1">
      <alignment/>
    </xf>
    <xf numFmtId="173" fontId="42" fillId="0" borderId="0" xfId="0" applyNumberFormat="1" applyFont="1" applyFill="1" applyBorder="1" applyAlignment="1">
      <alignment/>
    </xf>
    <xf numFmtId="0" fontId="2" fillId="25" borderId="0" xfId="0" applyFont="1" applyFill="1" applyBorder="1" applyAlignment="1">
      <alignment horizontal="right"/>
    </xf>
    <xf numFmtId="173" fontId="42" fillId="7" borderId="35" xfId="0" applyNumberFormat="1" applyFont="1" applyFill="1" applyBorder="1" applyAlignment="1">
      <alignment/>
    </xf>
    <xf numFmtId="10" fontId="41" fillId="26" borderId="11" xfId="0" applyNumberFormat="1" applyFont="1" applyFill="1" applyBorder="1" applyAlignment="1">
      <alignment horizontal="right"/>
    </xf>
    <xf numFmtId="10" fontId="40" fillId="26" borderId="11" xfId="0" applyNumberFormat="1" applyFont="1" applyFill="1" applyBorder="1" applyAlignment="1">
      <alignment horizontal="right"/>
    </xf>
    <xf numFmtId="0" fontId="42" fillId="25" borderId="10" xfId="0" applyFont="1" applyFill="1" applyBorder="1" applyAlignment="1">
      <alignment/>
    </xf>
    <xf numFmtId="182" fontId="42" fillId="25" borderId="10" xfId="0" applyNumberFormat="1" applyFont="1" applyFill="1" applyBorder="1" applyAlignment="1">
      <alignment/>
    </xf>
    <xf numFmtId="0" fontId="54" fillId="27" borderId="0" xfId="0" applyFont="1" applyFill="1" applyBorder="1" applyAlignment="1">
      <alignment/>
    </xf>
    <xf numFmtId="0" fontId="0" fillId="27" borderId="0" xfId="0" applyFill="1" applyAlignment="1">
      <alignment/>
    </xf>
    <xf numFmtId="176" fontId="0" fillId="27" borderId="28" xfId="59" applyNumberFormat="1" applyFont="1" applyFill="1" applyBorder="1" applyAlignment="1">
      <alignment/>
    </xf>
    <xf numFmtId="200" fontId="0" fillId="27" borderId="28" xfId="44" applyNumberFormat="1" applyFont="1" applyFill="1" applyBorder="1" applyAlignment="1">
      <alignment/>
    </xf>
    <xf numFmtId="173" fontId="0" fillId="27" borderId="28" xfId="0" applyNumberFormat="1" applyFill="1" applyBorder="1" applyAlignment="1">
      <alignment/>
    </xf>
    <xf numFmtId="170" fontId="0" fillId="27" borderId="28" xfId="44" applyNumberFormat="1" applyFont="1" applyFill="1" applyBorder="1" applyAlignment="1">
      <alignment/>
    </xf>
    <xf numFmtId="2" fontId="0" fillId="27" borderId="28" xfId="0" applyNumberFormat="1" applyFill="1" applyBorder="1" applyAlignment="1">
      <alignment/>
    </xf>
    <xf numFmtId="0" fontId="0" fillId="27" borderId="0" xfId="0" applyFill="1" applyAlignment="1">
      <alignment horizontal="center"/>
    </xf>
    <xf numFmtId="0" fontId="0" fillId="27" borderId="30" xfId="0" applyFill="1" applyBorder="1" applyAlignment="1">
      <alignment/>
    </xf>
    <xf numFmtId="0" fontId="0" fillId="27" borderId="45" xfId="0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46" xfId="0" applyFill="1" applyBorder="1" applyAlignment="1">
      <alignment/>
    </xf>
    <xf numFmtId="0" fontId="2" fillId="27" borderId="0" xfId="0" applyFont="1" applyFill="1" applyBorder="1" applyAlignment="1">
      <alignment horizontal="right"/>
    </xf>
    <xf numFmtId="176" fontId="0" fillId="27" borderId="0" xfId="59" applyNumberFormat="1" applyFont="1" applyFill="1" applyBorder="1" applyAlignment="1">
      <alignment/>
    </xf>
    <xf numFmtId="200" fontId="0" fillId="27" borderId="0" xfId="44" applyNumberFormat="1" applyFont="1" applyFill="1" applyBorder="1" applyAlignment="1">
      <alignment/>
    </xf>
    <xf numFmtId="173" fontId="0" fillId="27" borderId="0" xfId="0" applyNumberFormat="1" applyFill="1" applyBorder="1" applyAlignment="1">
      <alignment/>
    </xf>
    <xf numFmtId="173" fontId="0" fillId="27" borderId="0" xfId="0" applyNumberFormat="1" applyFont="1" applyFill="1" applyBorder="1" applyAlignment="1">
      <alignment/>
    </xf>
    <xf numFmtId="170" fontId="0" fillId="27" borderId="0" xfId="44" applyNumberFormat="1" applyFont="1" applyFill="1" applyBorder="1" applyAlignment="1">
      <alignment/>
    </xf>
    <xf numFmtId="2" fontId="0" fillId="27" borderId="0" xfId="0" applyNumberForma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27" borderId="48" xfId="0" applyFill="1" applyBorder="1" applyAlignment="1">
      <alignment/>
    </xf>
    <xf numFmtId="0" fontId="0" fillId="27" borderId="49" xfId="0" applyFill="1" applyBorder="1" applyAlignment="1">
      <alignment/>
    </xf>
    <xf numFmtId="0" fontId="0" fillId="27" borderId="44" xfId="0" applyFill="1" applyBorder="1" applyAlignment="1">
      <alignment/>
    </xf>
    <xf numFmtId="0" fontId="0" fillId="27" borderId="36" xfId="0" applyFill="1" applyBorder="1" applyAlignment="1">
      <alignment/>
    </xf>
    <xf numFmtId="0" fontId="0" fillId="27" borderId="47" xfId="0" applyFill="1" applyBorder="1" applyAlignment="1">
      <alignment/>
    </xf>
    <xf numFmtId="0" fontId="59" fillId="27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2" fillId="27" borderId="0" xfId="0" applyFont="1" applyFill="1" applyBorder="1" applyAlignment="1">
      <alignment/>
    </xf>
    <xf numFmtId="0" fontId="0" fillId="27" borderId="0" xfId="0" applyFont="1" applyFill="1" applyBorder="1" applyAlignment="1" quotePrefix="1">
      <alignment/>
    </xf>
    <xf numFmtId="0" fontId="16" fillId="27" borderId="48" xfId="0" applyFont="1" applyFill="1" applyBorder="1" applyAlignment="1">
      <alignment horizontal="center"/>
    </xf>
    <xf numFmtId="0" fontId="16" fillId="27" borderId="53" xfId="0" applyFont="1" applyFill="1" applyBorder="1" applyAlignment="1">
      <alignment horizontal="center"/>
    </xf>
    <xf numFmtId="9" fontId="0" fillId="27" borderId="0" xfId="59" applyFont="1" applyFill="1" applyBorder="1" applyAlignment="1">
      <alignment/>
    </xf>
    <xf numFmtId="9" fontId="0" fillId="27" borderId="28" xfId="59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ypg.com/images/ckeditor/files/2011_Q4_SuppDisc.pdf" TargetMode="External" /><Relationship Id="rId2" Type="http://schemas.openxmlformats.org/officeDocument/2006/relationships/hyperlink" Target="http://www.ypg.com/images/ckeditor/files/2011_Q3_SuppDisc.pdf" TargetMode="External" /><Relationship Id="rId3" Type="http://schemas.openxmlformats.org/officeDocument/2006/relationships/hyperlink" Target="http://www.theglobeandmail.com/globe-investor/updates-from-yellow-medias-call/article2425917/" TargetMode="Externa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zoomScalePageLayoutView="0" workbookViewId="0" topLeftCell="A1">
      <selection activeCell="K118" sqref="K118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</cols>
  <sheetData>
    <row r="1" spans="2:12" ht="32.25" thickBot="1">
      <c r="B1" s="113" t="s">
        <v>171</v>
      </c>
      <c r="G1" s="98"/>
      <c r="H1" s="65"/>
      <c r="I1" s="64"/>
      <c r="J1" s="65" t="s">
        <v>108</v>
      </c>
      <c r="K1" s="64"/>
      <c r="L1" s="64"/>
    </row>
    <row r="2" spans="1:13" s="98" customFormat="1" ht="36" customHeight="1" thickBot="1">
      <c r="A2" s="31"/>
      <c r="B2" s="97"/>
      <c r="G2" s="269"/>
      <c r="H2" s="270"/>
      <c r="I2" s="271"/>
      <c r="J2" s="272" t="s">
        <v>170</v>
      </c>
      <c r="K2" s="271"/>
      <c r="L2" s="271"/>
      <c r="M2" s="273"/>
    </row>
    <row r="3" spans="2:6" ht="20.25">
      <c r="B3" s="114" t="s">
        <v>110</v>
      </c>
      <c r="C3" s="95"/>
      <c r="D3" s="185"/>
      <c r="E3" s="104"/>
      <c r="F3" s="96"/>
    </row>
    <row r="4" spans="1:22" s="19" customFormat="1" ht="16.5" thickBot="1">
      <c r="A4" s="17"/>
      <c r="C4" s="144"/>
      <c r="D4" s="175" t="s">
        <v>20</v>
      </c>
      <c r="E4" s="160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74">
        <v>2015</v>
      </c>
      <c r="R4" s="279">
        <v>2016</v>
      </c>
      <c r="S4" s="274">
        <v>2017</v>
      </c>
      <c r="T4" s="279">
        <v>2018</v>
      </c>
      <c r="U4" s="274">
        <v>2019</v>
      </c>
      <c r="V4" s="279">
        <v>2020</v>
      </c>
    </row>
    <row r="5" spans="2:22" s="129" customFormat="1" ht="17.25" thickBot="1">
      <c r="B5" s="136" t="s">
        <v>105</v>
      </c>
      <c r="C5" s="137"/>
      <c r="D5" s="137"/>
      <c r="E5" s="138"/>
      <c r="F5" s="138"/>
      <c r="G5" s="138"/>
      <c r="H5" s="138"/>
      <c r="I5" s="138"/>
      <c r="J5" s="364"/>
      <c r="K5" s="138">
        <v>0.025</v>
      </c>
      <c r="L5" s="139">
        <f aca="true" t="shared" si="0" ref="L5:O6">+K5</f>
        <v>0.025</v>
      </c>
      <c r="M5" s="181">
        <f t="shared" si="0"/>
        <v>0.025</v>
      </c>
      <c r="N5" s="138">
        <f t="shared" si="0"/>
        <v>0.025</v>
      </c>
      <c r="O5" s="138">
        <f t="shared" si="0"/>
        <v>0.025</v>
      </c>
      <c r="P5" s="139">
        <f>+O5</f>
        <v>0.025</v>
      </c>
      <c r="Q5" s="179">
        <v>0.15</v>
      </c>
      <c r="R5" s="179">
        <v>0.15</v>
      </c>
      <c r="S5" s="139">
        <v>0.15</v>
      </c>
      <c r="T5" s="139">
        <v>0.15</v>
      </c>
      <c r="U5" s="139">
        <v>0.15</v>
      </c>
      <c r="V5" s="139">
        <v>0.15</v>
      </c>
    </row>
    <row r="6" spans="2:22" s="129" customFormat="1" ht="17.25" thickBot="1">
      <c r="B6" s="130" t="s">
        <v>106</v>
      </c>
      <c r="C6" s="131"/>
      <c r="D6" s="131"/>
      <c r="E6" s="138"/>
      <c r="F6" s="132"/>
      <c r="G6" s="132"/>
      <c r="H6" s="132"/>
      <c r="I6" s="132"/>
      <c r="J6" s="365"/>
      <c r="K6" s="132">
        <v>-0.05</v>
      </c>
      <c r="L6" s="133">
        <f t="shared" si="0"/>
        <v>-0.05</v>
      </c>
      <c r="M6" s="182">
        <f t="shared" si="0"/>
        <v>-0.05</v>
      </c>
      <c r="N6" s="132">
        <f t="shared" si="0"/>
        <v>-0.05</v>
      </c>
      <c r="O6" s="132">
        <f t="shared" si="0"/>
        <v>-0.05</v>
      </c>
      <c r="P6" s="133">
        <f>+O6</f>
        <v>-0.05</v>
      </c>
      <c r="Q6" s="180">
        <v>-0.15</v>
      </c>
      <c r="R6" s="180">
        <v>-0.15</v>
      </c>
      <c r="S6" s="133">
        <v>-0.1</v>
      </c>
      <c r="T6" s="133">
        <v>-0.05</v>
      </c>
      <c r="U6" s="133">
        <v>0</v>
      </c>
      <c r="V6" s="133">
        <v>0</v>
      </c>
    </row>
    <row r="7" spans="2:10" ht="20.25">
      <c r="B7" s="94"/>
      <c r="C7" s="95"/>
      <c r="D7" s="95"/>
      <c r="E7" s="104"/>
      <c r="F7" s="238"/>
      <c r="G7" s="287"/>
      <c r="H7" s="287"/>
      <c r="I7" s="287"/>
      <c r="J7" s="353"/>
    </row>
    <row r="8" spans="1:10" s="16" customFormat="1" ht="15.75">
      <c r="A8" s="17"/>
      <c r="D8" s="155"/>
      <c r="E8" s="189"/>
      <c r="F8" s="189"/>
      <c r="G8" s="189"/>
      <c r="H8" s="189"/>
      <c r="I8" s="189"/>
      <c r="J8" s="289" t="s">
        <v>56</v>
      </c>
    </row>
    <row r="9" spans="1:22" s="19" customFormat="1" ht="12.75">
      <c r="A9" s="17"/>
      <c r="C9" s="144" t="s">
        <v>36</v>
      </c>
      <c r="D9" s="175" t="s">
        <v>20</v>
      </c>
      <c r="E9" s="239" t="s">
        <v>1</v>
      </c>
      <c r="F9" s="239" t="s">
        <v>2</v>
      </c>
      <c r="G9" s="239" t="s">
        <v>3</v>
      </c>
      <c r="H9" s="239" t="s">
        <v>4</v>
      </c>
      <c r="I9" s="362" t="s">
        <v>5</v>
      </c>
      <c r="J9" s="349" t="s">
        <v>6</v>
      </c>
      <c r="K9" s="21" t="s">
        <v>7</v>
      </c>
      <c r="L9" s="21" t="s">
        <v>8</v>
      </c>
      <c r="M9" s="22" t="s">
        <v>9</v>
      </c>
      <c r="N9" s="22" t="s">
        <v>10</v>
      </c>
      <c r="O9" s="22" t="s">
        <v>11</v>
      </c>
      <c r="P9" s="22" t="s">
        <v>12</v>
      </c>
      <c r="Q9" s="331">
        <v>2015</v>
      </c>
      <c r="R9" s="115">
        <v>2016</v>
      </c>
      <c r="S9" s="331">
        <v>2017</v>
      </c>
      <c r="T9" s="115">
        <v>2018</v>
      </c>
      <c r="U9" s="331">
        <v>2019</v>
      </c>
      <c r="V9" s="115">
        <v>2020</v>
      </c>
    </row>
    <row r="10" spans="1:10" s="2" customFormat="1" ht="12.75">
      <c r="A10" s="31"/>
      <c r="B10" s="53" t="s">
        <v>57</v>
      </c>
      <c r="C10" s="145"/>
      <c r="D10" s="149"/>
      <c r="E10" s="149"/>
      <c r="F10" s="149"/>
      <c r="G10" s="149"/>
      <c r="H10" s="149"/>
      <c r="I10" s="149"/>
      <c r="J10" s="290"/>
    </row>
    <row r="11" spans="1:10" s="2" customFormat="1" ht="12.75">
      <c r="A11" s="31"/>
      <c r="B11" s="103"/>
      <c r="C11" s="145"/>
      <c r="D11" s="149"/>
      <c r="E11" s="149"/>
      <c r="F11" s="149"/>
      <c r="G11" s="149"/>
      <c r="H11" s="149"/>
      <c r="I11" s="149"/>
      <c r="J11" s="290"/>
    </row>
    <row r="12" spans="1:22" s="2" customFormat="1" ht="12.75">
      <c r="A12" s="31"/>
      <c r="B12" s="72" t="s">
        <v>73</v>
      </c>
      <c r="C12" s="145"/>
      <c r="D12" s="157">
        <v>90</v>
      </c>
      <c r="E12" s="157">
        <v>85.9</v>
      </c>
      <c r="F12" s="157">
        <v>89.7</v>
      </c>
      <c r="G12" s="157">
        <v>92</v>
      </c>
      <c r="H12" s="157">
        <v>99.7</v>
      </c>
      <c r="I12" s="157">
        <v>98.9</v>
      </c>
      <c r="J12" s="291">
        <v>98.4</v>
      </c>
      <c r="K12" s="12">
        <f aca="true" t="shared" si="1" ref="K12:P12">+J12*(1+K13)</f>
        <v>100.86</v>
      </c>
      <c r="L12" s="12">
        <f t="shared" si="1"/>
        <v>103.38149999999999</v>
      </c>
      <c r="M12" s="12">
        <f t="shared" si="1"/>
        <v>105.96603749999998</v>
      </c>
      <c r="N12" s="12">
        <f t="shared" si="1"/>
        <v>108.61518843749998</v>
      </c>
      <c r="O12" s="12">
        <f t="shared" si="1"/>
        <v>111.33056814843746</v>
      </c>
      <c r="P12" s="12">
        <f t="shared" si="1"/>
        <v>114.11383235214839</v>
      </c>
      <c r="Q12" s="12">
        <f>+P12*4</f>
        <v>456.45532940859357</v>
      </c>
      <c r="R12" s="12">
        <f>+Q12*(1+R13)</f>
        <v>524.9236288198825</v>
      </c>
      <c r="S12" s="12">
        <f>+R12*(1+S13)</f>
        <v>603.6621731428648</v>
      </c>
      <c r="T12" s="12">
        <f>+S12*(1+T13)</f>
        <v>694.2114991142945</v>
      </c>
      <c r="U12" s="12">
        <f>+T12*(1+U13)</f>
        <v>798.3432239814387</v>
      </c>
      <c r="V12" s="12">
        <f>+U12*(1+V13)</f>
        <v>918.0947075786544</v>
      </c>
    </row>
    <row r="13" spans="1:22" s="2" customFormat="1" ht="12.75">
      <c r="A13" s="31"/>
      <c r="B13" s="73" t="s">
        <v>76</v>
      </c>
      <c r="C13" s="146"/>
      <c r="D13" s="146"/>
      <c r="E13" s="191">
        <f aca="true" t="shared" si="2" ref="E13:J13">(+E12-D12)/D12</f>
        <v>-0.045555555555555495</v>
      </c>
      <c r="F13" s="191">
        <f t="shared" si="2"/>
        <v>0.04423748544819554</v>
      </c>
      <c r="G13" s="191">
        <f t="shared" si="2"/>
        <v>0.02564102564102561</v>
      </c>
      <c r="H13" s="191">
        <f t="shared" si="2"/>
        <v>0.08369565217391307</v>
      </c>
      <c r="I13" s="191">
        <f t="shared" si="2"/>
        <v>-0.00802407221664992</v>
      </c>
      <c r="J13" s="294">
        <f t="shared" si="2"/>
        <v>-0.005055611729019211</v>
      </c>
      <c r="K13" s="77">
        <f aca="true" t="shared" si="3" ref="K13:R13">+K5</f>
        <v>0.025</v>
      </c>
      <c r="L13" s="77">
        <f t="shared" si="3"/>
        <v>0.025</v>
      </c>
      <c r="M13" s="77">
        <f t="shared" si="3"/>
        <v>0.025</v>
      </c>
      <c r="N13" s="77">
        <f t="shared" si="3"/>
        <v>0.025</v>
      </c>
      <c r="O13" s="77">
        <f t="shared" si="3"/>
        <v>0.025</v>
      </c>
      <c r="P13" s="77">
        <f t="shared" si="3"/>
        <v>0.025</v>
      </c>
      <c r="Q13" s="77">
        <f t="shared" si="3"/>
        <v>0.15</v>
      </c>
      <c r="R13" s="77">
        <f t="shared" si="3"/>
        <v>0.15</v>
      </c>
      <c r="S13" s="77">
        <f>+S5</f>
        <v>0.15</v>
      </c>
      <c r="T13" s="77">
        <f>+T5</f>
        <v>0.15</v>
      </c>
      <c r="U13" s="77">
        <f>+U5</f>
        <v>0.15</v>
      </c>
      <c r="V13" s="77">
        <f>+V5</f>
        <v>0.15</v>
      </c>
    </row>
    <row r="14" spans="1:22" s="111" customFormat="1" ht="12.75">
      <c r="A14" s="109"/>
      <c r="B14" s="110" t="s">
        <v>122</v>
      </c>
      <c r="C14" s="107"/>
      <c r="D14" s="107">
        <v>0.394</v>
      </c>
      <c r="E14" s="107">
        <v>0.4</v>
      </c>
      <c r="F14" s="107">
        <f aca="true" t="shared" si="4" ref="F14:R14">+E14</f>
        <v>0.4</v>
      </c>
      <c r="G14" s="107">
        <v>0.43</v>
      </c>
      <c r="H14" s="107">
        <v>0.495</v>
      </c>
      <c r="I14" s="107">
        <v>0.43</v>
      </c>
      <c r="J14" s="293">
        <v>0.42</v>
      </c>
      <c r="K14" s="111">
        <f t="shared" si="4"/>
        <v>0.42</v>
      </c>
      <c r="L14" s="111">
        <f t="shared" si="4"/>
        <v>0.42</v>
      </c>
      <c r="M14" s="111">
        <f t="shared" si="4"/>
        <v>0.42</v>
      </c>
      <c r="N14" s="111">
        <f t="shared" si="4"/>
        <v>0.42</v>
      </c>
      <c r="O14" s="111">
        <f t="shared" si="4"/>
        <v>0.42</v>
      </c>
      <c r="P14" s="111">
        <f t="shared" si="4"/>
        <v>0.42</v>
      </c>
      <c r="Q14" s="111">
        <f t="shared" si="4"/>
        <v>0.42</v>
      </c>
      <c r="R14" s="111">
        <f t="shared" si="4"/>
        <v>0.42</v>
      </c>
      <c r="S14" s="111">
        <f>+R14</f>
        <v>0.42</v>
      </c>
      <c r="T14" s="111">
        <f>+S14</f>
        <v>0.42</v>
      </c>
      <c r="U14" s="111">
        <f>+T14</f>
        <v>0.42</v>
      </c>
      <c r="V14" s="111">
        <f>+U14</f>
        <v>0.42</v>
      </c>
    </row>
    <row r="15" spans="1:22" s="2" customFormat="1" ht="12.75">
      <c r="A15" s="31"/>
      <c r="B15" s="26" t="s">
        <v>75</v>
      </c>
      <c r="C15" s="145"/>
      <c r="D15" s="80">
        <f>+D12*D14</f>
        <v>35.46</v>
      </c>
      <c r="E15" s="80">
        <f>+E12*E14</f>
        <v>34.36000000000001</v>
      </c>
      <c r="F15" s="80">
        <f aca="true" t="shared" si="5" ref="F15:R15">+F12*F14</f>
        <v>35.88</v>
      </c>
      <c r="G15" s="80">
        <f t="shared" si="5"/>
        <v>39.56</v>
      </c>
      <c r="H15" s="80">
        <f t="shared" si="5"/>
        <v>49.3515</v>
      </c>
      <c r="I15" s="80">
        <f t="shared" si="5"/>
        <v>42.527</v>
      </c>
      <c r="J15" s="205">
        <f t="shared" si="5"/>
        <v>41.328</v>
      </c>
      <c r="K15" s="80">
        <f t="shared" si="5"/>
        <v>42.3612</v>
      </c>
      <c r="L15" s="80">
        <f t="shared" si="5"/>
        <v>43.42023</v>
      </c>
      <c r="M15" s="80">
        <f t="shared" si="5"/>
        <v>44.50573574999999</v>
      </c>
      <c r="N15" s="80">
        <f t="shared" si="5"/>
        <v>45.61837914374999</v>
      </c>
      <c r="O15" s="80">
        <f t="shared" si="5"/>
        <v>46.75883862234373</v>
      </c>
      <c r="P15" s="80">
        <f t="shared" si="5"/>
        <v>47.927809587902324</v>
      </c>
      <c r="Q15" s="80">
        <f t="shared" si="5"/>
        <v>191.7112383516093</v>
      </c>
      <c r="R15" s="80">
        <f t="shared" si="5"/>
        <v>220.46792410435066</v>
      </c>
      <c r="S15" s="80">
        <f>+S12*S14</f>
        <v>253.53811272000323</v>
      </c>
      <c r="T15" s="80">
        <f>+T12*T14</f>
        <v>291.5688296280037</v>
      </c>
      <c r="U15" s="80">
        <f>+U12*U14</f>
        <v>335.3041540722042</v>
      </c>
      <c r="V15" s="80">
        <f>+V12*V14</f>
        <v>385.5997771830348</v>
      </c>
    </row>
    <row r="16" spans="1:22" s="2" customFormat="1" ht="12.75">
      <c r="A16" s="31"/>
      <c r="B16" s="72"/>
      <c r="C16" s="145"/>
      <c r="D16" s="157"/>
      <c r="E16" s="157"/>
      <c r="F16" s="157"/>
      <c r="G16" s="157"/>
      <c r="H16" s="157"/>
      <c r="I16" s="157"/>
      <c r="J16" s="29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2" customFormat="1" ht="12.75">
      <c r="A17" s="31"/>
      <c r="B17" s="72" t="s">
        <v>74</v>
      </c>
      <c r="C17" s="145"/>
      <c r="D17" s="157">
        <v>223.3</v>
      </c>
      <c r="E17" s="157">
        <f>+E22-E12</f>
        <v>203.20000000000002</v>
      </c>
      <c r="F17" s="157">
        <f>+F22-F12</f>
        <v>196.8</v>
      </c>
      <c r="G17" s="157">
        <f>+G22-G12</f>
        <v>175.7</v>
      </c>
      <c r="H17" s="157">
        <f>+H22-H12</f>
        <v>164.7</v>
      </c>
      <c r="I17" s="157">
        <v>154.4</v>
      </c>
      <c r="J17" s="291">
        <f>243.2-J12</f>
        <v>144.79999999999998</v>
      </c>
      <c r="K17" s="12">
        <f aca="true" t="shared" si="6" ref="K17:R17">+J17*(1+K18)</f>
        <v>137.55999999999997</v>
      </c>
      <c r="L17" s="12">
        <f t="shared" si="6"/>
        <v>130.68199999999996</v>
      </c>
      <c r="M17" s="12">
        <f t="shared" si="6"/>
        <v>124.14789999999995</v>
      </c>
      <c r="N17" s="12">
        <f t="shared" si="6"/>
        <v>117.94050499999994</v>
      </c>
      <c r="O17" s="12">
        <f t="shared" si="6"/>
        <v>112.04347974999995</v>
      </c>
      <c r="P17" s="12">
        <f t="shared" si="6"/>
        <v>106.44130576249995</v>
      </c>
      <c r="Q17" s="12">
        <f>+P17*4</f>
        <v>425.7652230499998</v>
      </c>
      <c r="R17" s="12">
        <f t="shared" si="6"/>
        <v>361.9004395924998</v>
      </c>
      <c r="S17" s="12">
        <f>+R17*(1+S18)</f>
        <v>325.71039563324985</v>
      </c>
      <c r="T17" s="12">
        <f>+S17*(1+T18)</f>
        <v>309.42487585158733</v>
      </c>
      <c r="U17" s="12">
        <f>+T17*(1+U18)</f>
        <v>309.42487585158733</v>
      </c>
      <c r="V17" s="12">
        <f>+U17*(1+V18)</f>
        <v>309.42487585158733</v>
      </c>
    </row>
    <row r="18" spans="1:22" s="2" customFormat="1" ht="12.75">
      <c r="A18" s="31"/>
      <c r="B18" s="73" t="s">
        <v>79</v>
      </c>
      <c r="C18" s="145"/>
      <c r="D18" s="157"/>
      <c r="E18" s="191">
        <f aca="true" t="shared" si="7" ref="E18:J18">(+E17-D17)/D17</f>
        <v>-0.09001343484102102</v>
      </c>
      <c r="F18" s="191">
        <f t="shared" si="7"/>
        <v>-0.03149606299212601</v>
      </c>
      <c r="G18" s="191">
        <f t="shared" si="7"/>
        <v>-0.10721544715447165</v>
      </c>
      <c r="H18" s="191">
        <f t="shared" si="7"/>
        <v>-0.06260671599317018</v>
      </c>
      <c r="I18" s="191">
        <f t="shared" si="7"/>
        <v>-0.06253794778384933</v>
      </c>
      <c r="J18" s="294">
        <f t="shared" si="7"/>
        <v>-0.06217616580310895</v>
      </c>
      <c r="K18" s="78">
        <f aca="true" t="shared" si="8" ref="K18:R18">+K6</f>
        <v>-0.05</v>
      </c>
      <c r="L18" s="78">
        <f t="shared" si="8"/>
        <v>-0.05</v>
      </c>
      <c r="M18" s="78">
        <f t="shared" si="8"/>
        <v>-0.05</v>
      </c>
      <c r="N18" s="78">
        <f t="shared" si="8"/>
        <v>-0.05</v>
      </c>
      <c r="O18" s="78">
        <f t="shared" si="8"/>
        <v>-0.05</v>
      </c>
      <c r="P18" s="78">
        <f t="shared" si="8"/>
        <v>-0.05</v>
      </c>
      <c r="Q18" s="78">
        <f t="shared" si="8"/>
        <v>-0.15</v>
      </c>
      <c r="R18" s="78">
        <f t="shared" si="8"/>
        <v>-0.15</v>
      </c>
      <c r="S18" s="78">
        <f>+S6</f>
        <v>-0.1</v>
      </c>
      <c r="T18" s="78">
        <f>+T6</f>
        <v>-0.05</v>
      </c>
      <c r="U18" s="78">
        <f>+U6</f>
        <v>0</v>
      </c>
      <c r="V18" s="78">
        <f>+V6</f>
        <v>0</v>
      </c>
    </row>
    <row r="19" spans="1:22" s="111" customFormat="1" ht="12.75">
      <c r="A19" s="109"/>
      <c r="B19" s="110" t="s">
        <v>122</v>
      </c>
      <c r="C19" s="147"/>
      <c r="D19" s="107">
        <v>0.5</v>
      </c>
      <c r="E19" s="107">
        <f>+E20/E17</f>
        <v>0.5494094488188975</v>
      </c>
      <c r="F19" s="107">
        <f>+F20/F17</f>
        <v>0.5554878048780487</v>
      </c>
      <c r="G19" s="107">
        <f>+G20/G17</f>
        <v>0.5591348890153672</v>
      </c>
      <c r="H19" s="107">
        <f>+H20/H17</f>
        <v>0.5597965998785672</v>
      </c>
      <c r="I19" s="107">
        <f>+I20/I17</f>
        <v>0.4726230569948186</v>
      </c>
      <c r="J19" s="293">
        <v>0.455</v>
      </c>
      <c r="K19" s="107">
        <v>0.45</v>
      </c>
      <c r="L19" s="107">
        <v>0.45</v>
      </c>
      <c r="M19" s="107">
        <v>0.45</v>
      </c>
      <c r="N19" s="107">
        <v>0.45</v>
      </c>
      <c r="O19" s="107">
        <v>0.45</v>
      </c>
      <c r="P19" s="107">
        <v>0.45</v>
      </c>
      <c r="Q19" s="107">
        <v>0.45</v>
      </c>
      <c r="R19" s="107">
        <v>0.45</v>
      </c>
      <c r="S19" s="107">
        <v>0.45</v>
      </c>
      <c r="T19" s="107">
        <v>0.45</v>
      </c>
      <c r="U19" s="107">
        <v>0.45</v>
      </c>
      <c r="V19" s="107">
        <v>0.45</v>
      </c>
    </row>
    <row r="20" spans="1:22" s="2" customFormat="1" ht="12.75">
      <c r="A20" s="31"/>
      <c r="B20" s="26" t="s">
        <v>77</v>
      </c>
      <c r="C20" s="145"/>
      <c r="D20" s="80">
        <f>+D17*D19</f>
        <v>111.65</v>
      </c>
      <c r="E20" s="80">
        <f>+E23-E15</f>
        <v>111.63999999999999</v>
      </c>
      <c r="F20" s="80">
        <f>+F23-F15</f>
        <v>109.32</v>
      </c>
      <c r="G20" s="80">
        <f>+G23-G15</f>
        <v>98.24000000000001</v>
      </c>
      <c r="H20" s="80">
        <f>+H23-H15</f>
        <v>92.19850000000001</v>
      </c>
      <c r="I20" s="80">
        <f>+I23-I15</f>
        <v>72.973</v>
      </c>
      <c r="J20" s="205">
        <f aca="true" t="shared" si="9" ref="J20:R20">+J17*J19</f>
        <v>65.884</v>
      </c>
      <c r="K20" s="80">
        <f t="shared" si="9"/>
        <v>61.90199999999999</v>
      </c>
      <c r="L20" s="80">
        <f t="shared" si="9"/>
        <v>58.806899999999985</v>
      </c>
      <c r="M20" s="80">
        <f t="shared" si="9"/>
        <v>55.86655499999998</v>
      </c>
      <c r="N20" s="80">
        <f t="shared" si="9"/>
        <v>53.073227249999974</v>
      </c>
      <c r="O20" s="80">
        <f t="shared" si="9"/>
        <v>50.41956588749998</v>
      </c>
      <c r="P20" s="80">
        <f t="shared" si="9"/>
        <v>47.89858759312498</v>
      </c>
      <c r="Q20" s="80">
        <f t="shared" si="9"/>
        <v>191.59435037249992</v>
      </c>
      <c r="R20" s="80">
        <f t="shared" si="9"/>
        <v>162.85519781662492</v>
      </c>
      <c r="S20" s="80">
        <f>+S17*S19</f>
        <v>146.56967803496244</v>
      </c>
      <c r="T20" s="80">
        <f>+T17*T19</f>
        <v>139.2411941332143</v>
      </c>
      <c r="U20" s="80">
        <f>+U17*U19</f>
        <v>139.2411941332143</v>
      </c>
      <c r="V20" s="80">
        <f>+V17*V19</f>
        <v>139.2411941332143</v>
      </c>
    </row>
    <row r="21" spans="1:22" s="2" customFormat="1" ht="12.75">
      <c r="A21" s="31"/>
      <c r="B21" s="73"/>
      <c r="C21" s="145"/>
      <c r="D21" s="38"/>
      <c r="E21" s="38"/>
      <c r="F21" s="38"/>
      <c r="G21" s="38"/>
      <c r="H21" s="38"/>
      <c r="I21" s="38"/>
      <c r="J21" s="295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22" s="2" customFormat="1" ht="12.75">
      <c r="A22" s="31"/>
      <c r="B22" s="73" t="s">
        <v>80</v>
      </c>
      <c r="C22" s="145"/>
      <c r="D22" s="157">
        <f>+D12+D17</f>
        <v>313.3</v>
      </c>
      <c r="E22" s="157">
        <v>289.1</v>
      </c>
      <c r="F22" s="157">
        <v>286.5</v>
      </c>
      <c r="G22" s="157">
        <v>267.7</v>
      </c>
      <c r="H22" s="157">
        <v>264.4</v>
      </c>
      <c r="I22" s="157">
        <f aca="true" t="shared" si="10" ref="I22:R22">+I12+I17</f>
        <v>253.3</v>
      </c>
      <c r="J22" s="291">
        <f t="shared" si="10"/>
        <v>243.2</v>
      </c>
      <c r="K22" s="12">
        <f t="shared" si="10"/>
        <v>238.41999999999996</v>
      </c>
      <c r="L22" s="12">
        <f t="shared" si="10"/>
        <v>234.06349999999995</v>
      </c>
      <c r="M22" s="12">
        <f t="shared" si="10"/>
        <v>230.11393749999993</v>
      </c>
      <c r="N22" s="12">
        <f t="shared" si="10"/>
        <v>226.55569343749994</v>
      </c>
      <c r="O22" s="12">
        <f t="shared" si="10"/>
        <v>223.37404789843742</v>
      </c>
      <c r="P22" s="12">
        <f t="shared" si="10"/>
        <v>220.55513811464834</v>
      </c>
      <c r="Q22" s="12">
        <f t="shared" si="10"/>
        <v>882.2205524585934</v>
      </c>
      <c r="R22" s="12">
        <f t="shared" si="10"/>
        <v>886.8240684123823</v>
      </c>
      <c r="S22" s="12">
        <f>+S12+S17</f>
        <v>929.3725687761147</v>
      </c>
      <c r="T22" s="12">
        <f>+T12+T17</f>
        <v>1003.6363749658818</v>
      </c>
      <c r="U22" s="12">
        <f>+U12+U17</f>
        <v>1107.768099833026</v>
      </c>
      <c r="V22" s="12">
        <f>+V12+V17</f>
        <v>1227.5195834302417</v>
      </c>
    </row>
    <row r="23" spans="1:22" s="26" customFormat="1" ht="13.5" thickBot="1">
      <c r="A23" s="32" t="s">
        <v>15</v>
      </c>
      <c r="B23" s="32" t="s">
        <v>112</v>
      </c>
      <c r="C23" s="148"/>
      <c r="D23" s="81">
        <f>+D15+D20</f>
        <v>147.11</v>
      </c>
      <c r="E23" s="81">
        <v>146</v>
      </c>
      <c r="F23" s="81">
        <v>145.2</v>
      </c>
      <c r="G23" s="81">
        <v>137.8</v>
      </c>
      <c r="H23" s="81">
        <v>141.55</v>
      </c>
      <c r="I23" s="81">
        <v>115.5</v>
      </c>
      <c r="J23" s="208">
        <f aca="true" t="shared" si="11" ref="J23:R23">+J15+J20</f>
        <v>107.212</v>
      </c>
      <c r="K23" s="81">
        <f t="shared" si="11"/>
        <v>104.26319999999998</v>
      </c>
      <c r="L23" s="81">
        <f t="shared" si="11"/>
        <v>102.22712999999999</v>
      </c>
      <c r="M23" s="81">
        <f t="shared" si="11"/>
        <v>100.37229074999996</v>
      </c>
      <c r="N23" s="81">
        <f t="shared" si="11"/>
        <v>98.69160639374996</v>
      </c>
      <c r="O23" s="81">
        <f t="shared" si="11"/>
        <v>97.17840450984372</v>
      </c>
      <c r="P23" s="81">
        <f t="shared" si="11"/>
        <v>95.8263971810273</v>
      </c>
      <c r="Q23" s="81">
        <f t="shared" si="11"/>
        <v>383.3055887241092</v>
      </c>
      <c r="R23" s="81">
        <f t="shared" si="11"/>
        <v>383.3231219209756</v>
      </c>
      <c r="S23" s="81">
        <f>+S15+S20</f>
        <v>400.10779075496566</v>
      </c>
      <c r="T23" s="81">
        <f>+T15+T20</f>
        <v>430.81002376121796</v>
      </c>
      <c r="U23" s="81">
        <f>+U15+U20</f>
        <v>474.54534820541846</v>
      </c>
      <c r="V23" s="81">
        <f>+V15+V20</f>
        <v>524.8409713162491</v>
      </c>
    </row>
    <row r="24" spans="1:22" s="26" customFormat="1" ht="13.5" thickTop="1">
      <c r="A24" s="32"/>
      <c r="B24" s="26" t="s">
        <v>81</v>
      </c>
      <c r="C24" s="148" t="s">
        <v>125</v>
      </c>
      <c r="D24" s="83">
        <f>+D23/D22</f>
        <v>0.4695499521225663</v>
      </c>
      <c r="E24" s="241">
        <f>+E23/E22</f>
        <v>0.5050155655482531</v>
      </c>
      <c r="F24" s="241">
        <f>+F23/F22</f>
        <v>0.506806282722513</v>
      </c>
      <c r="G24" s="241">
        <f aca="true" t="shared" si="12" ref="G24:R24">+G23/G22</f>
        <v>0.5147553231228988</v>
      </c>
      <c r="H24" s="241">
        <f t="shared" si="12"/>
        <v>0.5353630862329805</v>
      </c>
      <c r="I24" s="240">
        <f t="shared" si="12"/>
        <v>0.4559810501381761</v>
      </c>
      <c r="J24" s="350">
        <f t="shared" si="12"/>
        <v>0.4408388157894737</v>
      </c>
      <c r="K24" s="240">
        <f t="shared" si="12"/>
        <v>0.43730895059139335</v>
      </c>
      <c r="L24" s="240">
        <f t="shared" si="12"/>
        <v>0.43674955727826</v>
      </c>
      <c r="M24" s="251">
        <f t="shared" si="12"/>
        <v>0.4361851865230892</v>
      </c>
      <c r="N24" s="251">
        <f t="shared" si="12"/>
        <v>0.43561741881793</v>
      </c>
      <c r="O24" s="251">
        <f t="shared" si="12"/>
        <v>0.4350478733949805</v>
      </c>
      <c r="P24" s="251">
        <f t="shared" si="12"/>
        <v>0.434478189899231</v>
      </c>
      <c r="Q24" s="276">
        <f t="shared" si="12"/>
        <v>0.434478189899231</v>
      </c>
      <c r="R24" s="241">
        <f t="shared" si="12"/>
        <v>0.4322425784036416</v>
      </c>
      <c r="S24" s="276">
        <f>+S23/S22</f>
        <v>0.4305138802212177</v>
      </c>
      <c r="T24" s="241">
        <f>+T23/T22</f>
        <v>0.4292491130324598</v>
      </c>
      <c r="U24" s="276">
        <f>+U23/U22</f>
        <v>0.428379683687359</v>
      </c>
      <c r="V24" s="241">
        <f>+V23/V22</f>
        <v>0.4275621981114203</v>
      </c>
    </row>
    <row r="25" spans="1:10" s="2" customFormat="1" ht="12.75">
      <c r="A25" s="31"/>
      <c r="B25" s="103"/>
      <c r="C25" s="145"/>
      <c r="D25" s="149"/>
      <c r="E25" s="149"/>
      <c r="F25" s="149"/>
      <c r="G25" s="149"/>
      <c r="H25" s="149"/>
      <c r="I25" s="149"/>
      <c r="J25" s="290"/>
    </row>
    <row r="26" spans="1:22" s="26" customFormat="1" ht="12.75">
      <c r="A26" s="32"/>
      <c r="B26" s="25"/>
      <c r="C26" s="148"/>
      <c r="D26" s="38"/>
      <c r="E26" s="38"/>
      <c r="F26" s="38"/>
      <c r="G26" s="38"/>
      <c r="H26" s="38"/>
      <c r="I26" s="38"/>
      <c r="J26" s="295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2" customFormat="1" ht="12.75">
      <c r="A27" s="31"/>
      <c r="B27" s="53" t="s">
        <v>47</v>
      </c>
      <c r="C27" s="149"/>
      <c r="D27" s="157"/>
      <c r="E27" s="157"/>
      <c r="F27" s="157"/>
      <c r="G27" s="157"/>
      <c r="H27" s="157"/>
      <c r="I27" s="157"/>
      <c r="J27" s="29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2" customFormat="1" ht="12.75">
      <c r="A28" s="31"/>
      <c r="B28" s="25" t="s">
        <v>17</v>
      </c>
      <c r="C28" s="149"/>
      <c r="D28" s="157"/>
      <c r="E28" s="157"/>
      <c r="F28" s="157"/>
      <c r="G28" s="157"/>
      <c r="H28" s="157"/>
      <c r="I28" s="157"/>
      <c r="J28" s="291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" customFormat="1" ht="12.75">
      <c r="A29" s="31"/>
      <c r="B29" s="1" t="s">
        <v>89</v>
      </c>
      <c r="C29" s="149"/>
      <c r="D29" s="157">
        <v>3.325</v>
      </c>
      <c r="E29" s="157">
        <v>2.07</v>
      </c>
      <c r="F29" s="157">
        <v>1.7825</v>
      </c>
      <c r="G29" s="157">
        <v>1.495</v>
      </c>
      <c r="H29" s="157">
        <v>1.2075</v>
      </c>
      <c r="I29" s="157"/>
      <c r="J29" s="29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s="2" customFormat="1" ht="12.75">
      <c r="A30" s="31"/>
      <c r="B30" s="1" t="s">
        <v>90</v>
      </c>
      <c r="C30" s="149"/>
      <c r="D30" s="157"/>
      <c r="E30" s="157">
        <v>2.629</v>
      </c>
      <c r="F30" s="157">
        <v>2.629</v>
      </c>
      <c r="G30" s="157">
        <v>2.629</v>
      </c>
      <c r="H30" s="157">
        <v>2.629</v>
      </c>
      <c r="I30" s="157"/>
      <c r="J30" s="29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s="2" customFormat="1" ht="12.75">
      <c r="A31" s="31"/>
      <c r="B31" s="1" t="s">
        <v>25</v>
      </c>
      <c r="C31" s="187"/>
      <c r="D31" s="157">
        <v>0</v>
      </c>
      <c r="E31" s="157">
        <v>0</v>
      </c>
      <c r="F31" s="157"/>
      <c r="G31" s="157"/>
      <c r="H31" s="157"/>
      <c r="I31" s="157"/>
      <c r="J31" s="29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s="2" customFormat="1" ht="12.75">
      <c r="A32" s="31"/>
      <c r="B32" s="1" t="s">
        <v>34</v>
      </c>
      <c r="C32" s="149"/>
      <c r="D32" s="157">
        <v>2.875</v>
      </c>
      <c r="E32" s="157">
        <v>2.875</v>
      </c>
      <c r="F32" s="157">
        <v>2.875</v>
      </c>
      <c r="G32" s="157">
        <v>2.875</v>
      </c>
      <c r="H32" s="157">
        <v>2.875</v>
      </c>
      <c r="I32" s="157"/>
      <c r="J32" s="29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" customFormat="1" ht="12.75">
      <c r="A33" s="31"/>
      <c r="B33" s="19" t="s">
        <v>14</v>
      </c>
      <c r="C33" s="149"/>
      <c r="D33" s="157">
        <v>29.3595</v>
      </c>
      <c r="E33" s="157">
        <v>25.3595</v>
      </c>
      <c r="F33" s="157">
        <v>19.7595</v>
      </c>
      <c r="G33" s="157">
        <v>27.9295</v>
      </c>
      <c r="H33" s="157">
        <v>22.4595</v>
      </c>
      <c r="I33" s="157"/>
      <c r="J33" s="29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s="2" customFormat="1" ht="12.75">
      <c r="A34" s="31"/>
      <c r="B34" s="19"/>
      <c r="C34" s="149"/>
      <c r="D34" s="157"/>
      <c r="E34" s="157"/>
      <c r="F34" s="157"/>
      <c r="G34" s="157"/>
      <c r="H34" s="157"/>
      <c r="I34" s="157"/>
      <c r="J34" s="29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2" customFormat="1" ht="12.75">
      <c r="A35" s="31"/>
      <c r="B35" s="19" t="s">
        <v>134</v>
      </c>
      <c r="C35" s="149"/>
      <c r="D35" s="157"/>
      <c r="E35" s="157"/>
      <c r="F35" s="157"/>
      <c r="G35" s="157"/>
      <c r="H35" s="157"/>
      <c r="I35" s="157">
        <f>14-I36</f>
        <v>14</v>
      </c>
      <c r="J35" s="291">
        <f>22.4-J36</f>
        <v>18.119999999999997</v>
      </c>
      <c r="K35" s="12">
        <f aca="true" t="shared" si="13" ref="K35:P35">(+J80-107.5)*(0.0925/4)</f>
        <v>17.8895</v>
      </c>
      <c r="L35" s="12">
        <f t="shared" si="13"/>
        <v>17.8895</v>
      </c>
      <c r="M35" s="12">
        <f t="shared" si="13"/>
        <v>15.857060515625001</v>
      </c>
      <c r="N35" s="12">
        <f t="shared" si="13"/>
        <v>15.857060515625001</v>
      </c>
      <c r="O35" s="12">
        <f t="shared" si="13"/>
        <v>14.303531220935058</v>
      </c>
      <c r="P35" s="12">
        <f t="shared" si="13"/>
        <v>14.303531220935058</v>
      </c>
      <c r="Q35" s="12">
        <f>(+P80-107.5)*(0.0925)</f>
        <v>50.59370892902728</v>
      </c>
      <c r="R35" s="12">
        <f>(+Q80-107.5)*(0.0925)</f>
        <v>37.85134743823593</v>
      </c>
      <c r="S35" s="12">
        <f>(+R80-107.5)*(0.0925)</f>
        <v>25.425460777452123</v>
      </c>
      <c r="T35" s="12">
        <f>(+S80-107.5)*(0.0925)</f>
        <v>15.72185642271206</v>
      </c>
      <c r="U35" s="12"/>
      <c r="V35" s="12"/>
    </row>
    <row r="36" spans="1:22" s="2" customFormat="1" ht="12.75">
      <c r="A36" s="31"/>
      <c r="B36" s="19" t="s">
        <v>135</v>
      </c>
      <c r="C36" s="149"/>
      <c r="D36" s="157"/>
      <c r="E36" s="157"/>
      <c r="F36" s="157"/>
      <c r="G36" s="157"/>
      <c r="H36" s="157"/>
      <c r="I36" s="157"/>
      <c r="J36" s="291">
        <f>107*0.04</f>
        <v>4.28</v>
      </c>
      <c r="K36" s="12"/>
      <c r="L36" s="12">
        <f>107*0.04</f>
        <v>4.28</v>
      </c>
      <c r="M36" s="12"/>
      <c r="N36" s="12">
        <f>107*0.04</f>
        <v>4.28</v>
      </c>
      <c r="O36" s="12"/>
      <c r="P36" s="12">
        <f>+N36</f>
        <v>4.28</v>
      </c>
      <c r="Q36" s="12">
        <f aca="true" t="shared" si="14" ref="Q36:V36">107.5*0.08</f>
        <v>8.6</v>
      </c>
      <c r="R36" s="12">
        <f t="shared" si="14"/>
        <v>8.6</v>
      </c>
      <c r="S36" s="12">
        <f t="shared" si="14"/>
        <v>8.6</v>
      </c>
      <c r="T36" s="12">
        <f t="shared" si="14"/>
        <v>8.6</v>
      </c>
      <c r="U36" s="12">
        <f t="shared" si="14"/>
        <v>8.6</v>
      </c>
      <c r="V36" s="12">
        <f t="shared" si="14"/>
        <v>8.6</v>
      </c>
    </row>
    <row r="37" spans="1:22" s="2" customFormat="1" ht="12.75">
      <c r="A37" s="31"/>
      <c r="B37" s="19"/>
      <c r="C37" s="149"/>
      <c r="D37" s="157"/>
      <c r="E37" s="157"/>
      <c r="F37" s="157"/>
      <c r="G37" s="157"/>
      <c r="H37" s="157"/>
      <c r="I37" s="157"/>
      <c r="J37" s="29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2" customFormat="1" ht="12.75">
      <c r="A38" s="31" t="s">
        <v>119</v>
      </c>
      <c r="B38" s="19" t="s">
        <v>115</v>
      </c>
      <c r="C38" s="149"/>
      <c r="D38" s="157"/>
      <c r="E38" s="157">
        <v>1.9</v>
      </c>
      <c r="F38" s="157">
        <f>7.4-E38</f>
        <v>5.5</v>
      </c>
      <c r="G38" s="157"/>
      <c r="H38" s="157">
        <v>17.9</v>
      </c>
      <c r="I38" s="157">
        <f>5.6+0.15</f>
        <v>5.75</v>
      </c>
      <c r="J38" s="291">
        <v>0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2" customFormat="1" ht="12.75">
      <c r="A39" s="31"/>
      <c r="B39" s="25"/>
      <c r="C39" s="149"/>
      <c r="D39" s="157"/>
      <c r="E39" s="157"/>
      <c r="F39" s="157"/>
      <c r="G39" s="157"/>
      <c r="H39" s="157"/>
      <c r="I39" s="157"/>
      <c r="J39" s="29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2" customFormat="1" ht="12.75">
      <c r="A40" s="31"/>
      <c r="B40" s="25" t="s">
        <v>117</v>
      </c>
      <c r="C40" s="149"/>
      <c r="D40" s="157">
        <v>27.3</v>
      </c>
      <c r="E40" s="192">
        <v>29.8</v>
      </c>
      <c r="F40" s="157">
        <v>31.7</v>
      </c>
      <c r="G40" s="157">
        <v>5.6</v>
      </c>
      <c r="H40" s="157">
        <f>63.5-(E40+F40+G40)</f>
        <v>-3.5999999999999943</v>
      </c>
      <c r="I40" s="157">
        <v>16</v>
      </c>
      <c r="J40" s="291">
        <f>21.3-I40</f>
        <v>5.300000000000001</v>
      </c>
      <c r="K40" s="12">
        <v>16</v>
      </c>
      <c r="L40" s="12">
        <f>+K40</f>
        <v>16</v>
      </c>
      <c r="M40" s="12">
        <v>20</v>
      </c>
      <c r="N40" s="12">
        <f>+M40</f>
        <v>20</v>
      </c>
      <c r="O40" s="12">
        <f>+N40</f>
        <v>20</v>
      </c>
      <c r="P40" s="12">
        <f>+O40</f>
        <v>20</v>
      </c>
      <c r="Q40" s="12">
        <f>+P40*4</f>
        <v>80</v>
      </c>
      <c r="R40" s="12">
        <f>+Q40</f>
        <v>80</v>
      </c>
      <c r="S40" s="12">
        <f>+R40</f>
        <v>80</v>
      </c>
      <c r="T40" s="12">
        <f>+S40</f>
        <v>80</v>
      </c>
      <c r="U40" s="12">
        <f>+T40</f>
        <v>80</v>
      </c>
      <c r="V40" s="12">
        <f>+U40</f>
        <v>80</v>
      </c>
    </row>
    <row r="41" spans="1:22" s="2" customFormat="1" ht="12.75">
      <c r="A41" s="31"/>
      <c r="C41" s="149"/>
      <c r="D41" s="157"/>
      <c r="E41" s="157"/>
      <c r="F41" s="157"/>
      <c r="G41" s="157"/>
      <c r="H41" s="157"/>
      <c r="I41" s="157"/>
      <c r="J41" s="29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2" customFormat="1" ht="12.75">
      <c r="A42" s="31"/>
      <c r="B42" s="25" t="s">
        <v>71</v>
      </c>
      <c r="C42" s="149"/>
      <c r="D42" s="157">
        <v>14.7</v>
      </c>
      <c r="E42" s="157">
        <v>8.2</v>
      </c>
      <c r="F42" s="157">
        <f>16.9-E42</f>
        <v>8.7</v>
      </c>
      <c r="G42" s="157">
        <f>-SUM(E42:F42)+24.8</f>
        <v>7.900000000000002</v>
      </c>
      <c r="H42" s="157">
        <v>15.4</v>
      </c>
      <c r="I42" s="157">
        <v>18.7</v>
      </c>
      <c r="J42" s="291">
        <f>40.3-I42</f>
        <v>21.599999999999998</v>
      </c>
      <c r="K42" s="12">
        <v>13</v>
      </c>
      <c r="L42" s="12">
        <f>+K42</f>
        <v>13</v>
      </c>
      <c r="M42" s="12">
        <f>+L42</f>
        <v>13</v>
      </c>
      <c r="N42" s="12">
        <f>+M42</f>
        <v>13</v>
      </c>
      <c r="O42" s="12">
        <f>+N42</f>
        <v>13</v>
      </c>
      <c r="P42" s="12">
        <f>+O42</f>
        <v>13</v>
      </c>
      <c r="Q42" s="12">
        <f>+P42*4</f>
        <v>52</v>
      </c>
      <c r="R42" s="12">
        <f>+Q42</f>
        <v>52</v>
      </c>
      <c r="S42" s="12">
        <f>+R42</f>
        <v>52</v>
      </c>
      <c r="T42" s="12">
        <f>+S42</f>
        <v>52</v>
      </c>
      <c r="U42" s="12">
        <f>+T42</f>
        <v>52</v>
      </c>
      <c r="V42" s="12">
        <f>+U42</f>
        <v>52</v>
      </c>
    </row>
    <row r="43" spans="1:22" s="2" customFormat="1" ht="12.75">
      <c r="A43" s="31" t="s">
        <v>119</v>
      </c>
      <c r="B43" s="25" t="s">
        <v>116</v>
      </c>
      <c r="C43" s="149"/>
      <c r="D43" s="157">
        <v>0</v>
      </c>
      <c r="E43" s="157">
        <v>13.036</v>
      </c>
      <c r="F43" s="157">
        <v>0</v>
      </c>
      <c r="G43" s="157">
        <v>3.6</v>
      </c>
      <c r="H43" s="157">
        <f>14.526-E43-F43-G43</f>
        <v>-2.11</v>
      </c>
      <c r="I43" s="157">
        <v>1.8</v>
      </c>
      <c r="J43" s="291">
        <f>3.3-I43</f>
        <v>1.4999999999999998</v>
      </c>
      <c r="K43" s="12">
        <v>0</v>
      </c>
      <c r="L43" s="12">
        <v>0</v>
      </c>
      <c r="M43" s="27">
        <v>13</v>
      </c>
      <c r="N43" s="12">
        <v>0</v>
      </c>
      <c r="O43" s="12">
        <v>0</v>
      </c>
      <c r="P43" s="12">
        <v>0</v>
      </c>
      <c r="Q43" s="27">
        <v>13</v>
      </c>
      <c r="R43" s="27">
        <v>13</v>
      </c>
      <c r="S43" s="12">
        <v>0</v>
      </c>
      <c r="T43" s="12">
        <v>0</v>
      </c>
      <c r="U43" s="12">
        <v>0</v>
      </c>
      <c r="V43" s="12">
        <v>0</v>
      </c>
    </row>
    <row r="44" spans="1:22" s="2" customFormat="1" ht="12.75">
      <c r="A44" s="31" t="s">
        <v>119</v>
      </c>
      <c r="B44" s="25" t="s">
        <v>118</v>
      </c>
      <c r="C44" s="149"/>
      <c r="D44" s="157"/>
      <c r="E44" s="157">
        <f>42.736+(315.3-310.1)</f>
        <v>47.935999999999986</v>
      </c>
      <c r="F44" s="157">
        <f>30.4-E44-0.7</f>
        <v>-18.235999999999986</v>
      </c>
      <c r="G44" s="157">
        <f>-SUM(E44:F44)+43.577</f>
        <v>13.876999999999999</v>
      </c>
      <c r="H44" s="157">
        <f>14.529-E44-F44-G44</f>
        <v>-29.047999999999995</v>
      </c>
      <c r="I44" s="157">
        <v>-12.2</v>
      </c>
      <c r="J44" s="291">
        <f>-24-I44</f>
        <v>-11.8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2" customFormat="1" ht="12.75">
      <c r="A45" s="31"/>
      <c r="B45" s="25" t="s">
        <v>169</v>
      </c>
      <c r="C45" s="149"/>
      <c r="D45" s="157"/>
      <c r="E45" s="157"/>
      <c r="F45" s="157"/>
      <c r="G45" s="157"/>
      <c r="H45" s="157"/>
      <c r="I45" s="157"/>
      <c r="J45" s="291">
        <v>2.4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2" customFormat="1" ht="12.75">
      <c r="A46" s="31"/>
      <c r="B46" s="25"/>
      <c r="C46" s="149"/>
      <c r="D46" s="157"/>
      <c r="E46" s="157"/>
      <c r="F46" s="157"/>
      <c r="G46" s="157"/>
      <c r="H46" s="157"/>
      <c r="I46" s="157"/>
      <c r="J46" s="29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2" customFormat="1" ht="12.75">
      <c r="A47" s="31"/>
      <c r="B47" s="25" t="s">
        <v>132</v>
      </c>
      <c r="C47" s="149"/>
      <c r="D47" s="157"/>
      <c r="E47" s="157"/>
      <c r="F47" s="157"/>
      <c r="G47" s="157">
        <v>26.8</v>
      </c>
      <c r="H47" s="157">
        <v>-21.2</v>
      </c>
      <c r="I47" s="157">
        <v>6.2</v>
      </c>
      <c r="J47" s="291">
        <v>0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" customFormat="1" ht="12.75">
      <c r="A48" s="31"/>
      <c r="B48" s="25" t="s">
        <v>131</v>
      </c>
      <c r="C48" s="149"/>
      <c r="D48" s="157"/>
      <c r="E48" s="157"/>
      <c r="F48" s="157"/>
      <c r="G48" s="157">
        <v>16.305</v>
      </c>
      <c r="H48" s="157">
        <f>63-G48</f>
        <v>46.695</v>
      </c>
      <c r="I48" s="157">
        <v>4.2</v>
      </c>
      <c r="J48" s="291">
        <v>0.2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2" customFormat="1" ht="12.75">
      <c r="A49" s="31"/>
      <c r="B49" s="25" t="s">
        <v>102</v>
      </c>
      <c r="C49" s="149"/>
      <c r="D49" s="157">
        <v>2.9</v>
      </c>
      <c r="E49" s="157">
        <v>0</v>
      </c>
      <c r="F49" s="157"/>
      <c r="G49" s="157"/>
      <c r="H49" s="157"/>
      <c r="I49" s="157"/>
      <c r="J49" s="291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2" customFormat="1" ht="12.75">
      <c r="A50" s="31"/>
      <c r="B50" s="2" t="s">
        <v>103</v>
      </c>
      <c r="C50" s="149"/>
      <c r="D50" s="157">
        <v>0.5</v>
      </c>
      <c r="E50" s="157"/>
      <c r="F50" s="157"/>
      <c r="G50" s="157">
        <v>-1.6</v>
      </c>
      <c r="H50" s="157"/>
      <c r="I50" s="38">
        <v>3.2</v>
      </c>
      <c r="J50" s="291">
        <v>5.8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2" customFormat="1" ht="12.75">
      <c r="A51" s="31"/>
      <c r="B51" s="25" t="s">
        <v>19</v>
      </c>
      <c r="C51" s="150" t="s">
        <v>107</v>
      </c>
      <c r="D51" s="157">
        <v>10</v>
      </c>
      <c r="E51" s="157">
        <v>0</v>
      </c>
      <c r="F51" s="157">
        <v>0</v>
      </c>
      <c r="G51" s="157">
        <f aca="true" t="shared" si="15" ref="G51:P51">+F51</f>
        <v>0</v>
      </c>
      <c r="H51" s="157">
        <f t="shared" si="15"/>
        <v>0</v>
      </c>
      <c r="I51" s="157">
        <f t="shared" si="15"/>
        <v>0</v>
      </c>
      <c r="J51" s="291">
        <f t="shared" si="15"/>
        <v>0</v>
      </c>
      <c r="K51" s="12">
        <f t="shared" si="15"/>
        <v>0</v>
      </c>
      <c r="L51" s="12">
        <f t="shared" si="15"/>
        <v>0</v>
      </c>
      <c r="M51" s="12">
        <f t="shared" si="15"/>
        <v>0</v>
      </c>
      <c r="N51" s="12">
        <f t="shared" si="15"/>
        <v>0</v>
      </c>
      <c r="O51" s="12">
        <f t="shared" si="15"/>
        <v>0</v>
      </c>
      <c r="P51" s="12">
        <f t="shared" si="15"/>
        <v>0</v>
      </c>
      <c r="Q51" s="12">
        <f>+P51*4</f>
        <v>0</v>
      </c>
      <c r="R51" s="12">
        <f>+Q51</f>
        <v>0</v>
      </c>
      <c r="S51" s="12">
        <f>+R51</f>
        <v>0</v>
      </c>
      <c r="T51" s="12">
        <f>+S51</f>
        <v>0</v>
      </c>
      <c r="U51" s="12">
        <f>+T51</f>
        <v>0</v>
      </c>
      <c r="V51" s="12">
        <f>+U51</f>
        <v>0</v>
      </c>
    </row>
    <row r="52" spans="1:22" s="2" customFormat="1" ht="12.75">
      <c r="A52" s="31"/>
      <c r="C52" s="150"/>
      <c r="D52" s="13"/>
      <c r="E52" s="13"/>
      <c r="F52" s="13"/>
      <c r="G52" s="13"/>
      <c r="H52" s="13"/>
      <c r="I52" s="13"/>
      <c r="J52" s="296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26" customFormat="1" ht="12.75">
      <c r="A53" s="32" t="s">
        <v>40</v>
      </c>
      <c r="B53" s="25" t="s">
        <v>21</v>
      </c>
      <c r="C53" s="151"/>
      <c r="D53" s="38">
        <f>SUM(D28:D52)</f>
        <v>90.9595</v>
      </c>
      <c r="E53" s="38">
        <f>SUM(E28:E52)</f>
        <v>133.8055</v>
      </c>
      <c r="F53" s="38">
        <f aca="true" t="shared" si="16" ref="F53:R53">SUM(F28:F52)</f>
        <v>54.71000000000001</v>
      </c>
      <c r="G53" s="38">
        <f t="shared" si="16"/>
        <v>107.41050000000001</v>
      </c>
      <c r="H53" s="38">
        <f t="shared" si="16"/>
        <v>53.20800000000001</v>
      </c>
      <c r="I53" s="38">
        <f t="shared" si="16"/>
        <v>57.650000000000006</v>
      </c>
      <c r="J53" s="295">
        <f t="shared" si="16"/>
        <v>47.4</v>
      </c>
      <c r="K53" s="27">
        <f t="shared" si="16"/>
        <v>46.8895</v>
      </c>
      <c r="L53" s="27">
        <f t="shared" si="16"/>
        <v>51.1695</v>
      </c>
      <c r="M53" s="27">
        <f t="shared" si="16"/>
        <v>61.857060515625</v>
      </c>
      <c r="N53" s="27">
        <f t="shared" si="16"/>
        <v>53.137060515625</v>
      </c>
      <c r="O53" s="27">
        <f t="shared" si="16"/>
        <v>47.30353122093506</v>
      </c>
      <c r="P53" s="27">
        <f t="shared" si="16"/>
        <v>51.58353122093506</v>
      </c>
      <c r="Q53" s="27">
        <f t="shared" si="16"/>
        <v>204.19370892902728</v>
      </c>
      <c r="R53" s="27">
        <f t="shared" si="16"/>
        <v>191.45134743823593</v>
      </c>
      <c r="S53" s="27">
        <f>SUM(S28:S52)</f>
        <v>166.0254607774521</v>
      </c>
      <c r="T53" s="27">
        <f>SUM(T28:T52)</f>
        <v>156.32185642271207</v>
      </c>
      <c r="U53" s="27">
        <f>SUM(U28:U52)</f>
        <v>140.6</v>
      </c>
      <c r="V53" s="27">
        <f>SUM(V28:V52)</f>
        <v>140.6</v>
      </c>
    </row>
    <row r="54" spans="1:22" s="26" customFormat="1" ht="12.75">
      <c r="A54" s="32"/>
      <c r="B54" s="25"/>
      <c r="C54" s="151"/>
      <c r="D54" s="38"/>
      <c r="E54" s="38"/>
      <c r="F54" s="38"/>
      <c r="G54" s="38"/>
      <c r="H54" s="38"/>
      <c r="I54" s="38"/>
      <c r="J54" s="295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s="26" customFormat="1" ht="12.75">
      <c r="A55" s="32"/>
      <c r="B55" s="3" t="s">
        <v>35</v>
      </c>
      <c r="C55" s="145"/>
      <c r="D55" s="157">
        <v>52</v>
      </c>
      <c r="E55" s="38"/>
      <c r="F55" s="38"/>
      <c r="G55" s="38"/>
      <c r="H55" s="38">
        <v>-275</v>
      </c>
      <c r="I55" s="38"/>
      <c r="J55" s="295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s="2" customFormat="1" ht="12.75">
      <c r="A56" s="31"/>
      <c r="B56" s="3" t="s">
        <v>54</v>
      </c>
      <c r="C56" s="145"/>
      <c r="D56" s="157">
        <v>72</v>
      </c>
      <c r="E56" s="157"/>
      <c r="F56" s="13"/>
      <c r="G56" s="157"/>
      <c r="H56" s="13"/>
      <c r="I56" s="157"/>
      <c r="J56" s="296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26" customFormat="1" ht="13.5" thickBot="1">
      <c r="A57" s="32" t="s">
        <v>41</v>
      </c>
      <c r="B57" s="25" t="s">
        <v>43</v>
      </c>
      <c r="C57" s="152" t="s">
        <v>44</v>
      </c>
      <c r="D57" s="33">
        <f>+D23-D53+D56+D55</f>
        <v>180.15050000000002</v>
      </c>
      <c r="E57" s="142">
        <f>+E23-E53</f>
        <v>12.194500000000005</v>
      </c>
      <c r="F57" s="142">
        <f>+F23-F53</f>
        <v>90.48999999999998</v>
      </c>
      <c r="G57" s="142">
        <f>+G23-G53</f>
        <v>30.389499999999998</v>
      </c>
      <c r="H57" s="142">
        <f>SUM(H53:H56)</f>
        <v>-221.79199999999997</v>
      </c>
      <c r="I57" s="246">
        <f aca="true" t="shared" si="17" ref="I57:V57">+I23-I53</f>
        <v>57.849999999999994</v>
      </c>
      <c r="J57" s="351">
        <f t="shared" si="17"/>
        <v>59.812000000000005</v>
      </c>
      <c r="K57" s="246">
        <f t="shared" si="17"/>
        <v>57.373699999999985</v>
      </c>
      <c r="L57" s="246">
        <f t="shared" si="17"/>
        <v>51.05762999999999</v>
      </c>
      <c r="M57" s="252">
        <f t="shared" si="17"/>
        <v>38.51523023437496</v>
      </c>
      <c r="N57" s="252">
        <f t="shared" si="17"/>
        <v>45.55454587812496</v>
      </c>
      <c r="O57" s="252">
        <f t="shared" si="17"/>
        <v>49.87487328890866</v>
      </c>
      <c r="P57" s="252">
        <f t="shared" si="17"/>
        <v>44.242865960092246</v>
      </c>
      <c r="Q57" s="277">
        <f t="shared" si="17"/>
        <v>179.11187979508193</v>
      </c>
      <c r="R57" s="142">
        <f t="shared" si="17"/>
        <v>191.87177448273968</v>
      </c>
      <c r="S57" s="277">
        <f t="shared" si="17"/>
        <v>234.08232997751355</v>
      </c>
      <c r="T57" s="142">
        <f t="shared" si="17"/>
        <v>274.4881673385059</v>
      </c>
      <c r="U57" s="277">
        <f t="shared" si="17"/>
        <v>333.94534820541844</v>
      </c>
      <c r="V57" s="142">
        <f t="shared" si="17"/>
        <v>384.2409713162491</v>
      </c>
    </row>
    <row r="58" spans="1:22" s="26" customFormat="1" ht="13.5" thickTop="1">
      <c r="A58" s="32"/>
      <c r="B58" s="25"/>
      <c r="C58" s="152"/>
      <c r="D58" s="38"/>
      <c r="E58" s="38"/>
      <c r="F58" s="38"/>
      <c r="G58" s="38"/>
      <c r="H58" s="38"/>
      <c r="I58" s="38"/>
      <c r="J58" s="295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6" customFormat="1" ht="12.75">
      <c r="A59" s="32"/>
      <c r="B59" s="25" t="s">
        <v>136</v>
      </c>
      <c r="C59" s="152"/>
      <c r="D59" s="38"/>
      <c r="E59" s="38"/>
      <c r="F59" s="38"/>
      <c r="G59" s="38"/>
      <c r="H59" s="38">
        <f>-974.2-25</f>
        <v>-999.2</v>
      </c>
      <c r="I59" s="38"/>
      <c r="J59" s="295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s="26" customFormat="1" ht="12.75">
      <c r="A60" s="32"/>
      <c r="B60" s="25"/>
      <c r="C60" s="152"/>
      <c r="D60" s="38"/>
      <c r="E60" s="38"/>
      <c r="F60" s="38"/>
      <c r="G60" s="38"/>
      <c r="H60" s="38"/>
      <c r="I60" s="38"/>
      <c r="J60" s="295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26" customFormat="1" ht="12.75">
      <c r="A61" s="32"/>
      <c r="B61" s="25"/>
      <c r="C61" s="152"/>
      <c r="D61" s="38"/>
      <c r="E61" s="38"/>
      <c r="F61" s="38"/>
      <c r="G61" s="38"/>
      <c r="H61" s="38"/>
      <c r="I61" s="38"/>
      <c r="J61" s="295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2" customFormat="1" ht="12.75">
      <c r="A62" s="31"/>
      <c r="B62" s="3"/>
      <c r="C62" s="145"/>
      <c r="D62" s="157"/>
      <c r="E62" s="157"/>
      <c r="F62" s="157"/>
      <c r="G62" s="157"/>
      <c r="H62" s="157"/>
      <c r="I62" s="157"/>
      <c r="J62" s="29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2:22" ht="12.75">
      <c r="B63" s="54" t="s">
        <v>22</v>
      </c>
      <c r="C63" s="4"/>
      <c r="D63" s="158"/>
      <c r="E63" s="193"/>
      <c r="F63" s="193"/>
      <c r="G63" s="193"/>
      <c r="H63" s="193"/>
      <c r="I63" s="193"/>
      <c r="J63" s="297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2.75">
      <c r="A64" s="17" t="s">
        <v>42</v>
      </c>
      <c r="B64" s="1" t="s">
        <v>87</v>
      </c>
      <c r="C64" s="153">
        <v>250</v>
      </c>
      <c r="D64" s="158">
        <v>45</v>
      </c>
      <c r="E64" s="193">
        <v>25</v>
      </c>
      <c r="F64" s="193">
        <v>25</v>
      </c>
      <c r="G64" s="193">
        <v>25</v>
      </c>
      <c r="H64" s="193">
        <v>130</v>
      </c>
      <c r="I64" s="157"/>
      <c r="J64" s="297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2.75">
      <c r="A65" s="17" t="s">
        <v>42</v>
      </c>
      <c r="B65" s="1" t="s">
        <v>88</v>
      </c>
      <c r="C65" s="153">
        <v>16</v>
      </c>
      <c r="D65" s="158">
        <v>16</v>
      </c>
      <c r="E65" s="194">
        <v>-239</v>
      </c>
      <c r="F65" s="193"/>
      <c r="G65" s="193"/>
      <c r="H65" s="193">
        <v>239</v>
      </c>
      <c r="I65" s="157"/>
      <c r="J65" s="297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2.75">
      <c r="A66" s="17" t="s">
        <v>42</v>
      </c>
      <c r="B66" s="1" t="s">
        <v>25</v>
      </c>
      <c r="C66" s="153">
        <v>35</v>
      </c>
      <c r="D66" s="158">
        <v>35</v>
      </c>
      <c r="E66" s="193"/>
      <c r="F66" s="193"/>
      <c r="G66" s="193"/>
      <c r="H66" s="193"/>
      <c r="I66" s="193"/>
      <c r="J66" s="297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2.75">
      <c r="A67" s="17"/>
      <c r="B67" s="1" t="s">
        <v>114</v>
      </c>
      <c r="C67" s="153"/>
      <c r="D67" s="158"/>
      <c r="E67" s="193">
        <v>0.3</v>
      </c>
      <c r="F67" s="193"/>
      <c r="G67" s="193"/>
      <c r="H67" s="193"/>
      <c r="I67" s="193"/>
      <c r="J67" s="297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3.5" thickBot="1">
      <c r="A68" s="17" t="s">
        <v>42</v>
      </c>
      <c r="B68" s="249" t="s">
        <v>34</v>
      </c>
      <c r="C68" s="154"/>
      <c r="D68" s="158"/>
      <c r="E68" s="193"/>
      <c r="F68" s="193"/>
      <c r="G68" s="193"/>
      <c r="H68" s="193">
        <v>184</v>
      </c>
      <c r="I68" s="193"/>
      <c r="J68" s="297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6.5" thickBot="1">
      <c r="A69" s="17"/>
      <c r="B69" s="260" t="s">
        <v>137</v>
      </c>
      <c r="C69" s="154"/>
      <c r="D69" s="158"/>
      <c r="E69" s="193"/>
      <c r="F69" s="193"/>
      <c r="G69" s="193"/>
      <c r="H69" s="261">
        <v>-107.5</v>
      </c>
      <c r="I69" s="193"/>
      <c r="J69" s="297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267" customFormat="1" ht="16.5" thickBot="1">
      <c r="A70" s="228"/>
      <c r="B70" s="260" t="s">
        <v>138</v>
      </c>
      <c r="C70" s="262"/>
      <c r="D70" s="263"/>
      <c r="E70" s="264"/>
      <c r="F70" s="264"/>
      <c r="G70" s="264"/>
      <c r="H70" s="363">
        <v>-800</v>
      </c>
      <c r="I70" s="264"/>
      <c r="J70" s="354">
        <v>26.1</v>
      </c>
      <c r="K70" s="266"/>
      <c r="L70" s="266">
        <f>(+J57+K57)*0.75</f>
        <v>87.889275</v>
      </c>
      <c r="M70" s="266"/>
      <c r="N70" s="266">
        <f>(+L57+M57)*0.75</f>
        <v>67.17964517578122</v>
      </c>
      <c r="O70" s="266"/>
      <c r="P70" s="266">
        <f>(+N57+O57)*0.75</f>
        <v>71.5720643752752</v>
      </c>
      <c r="Q70" s="266">
        <f>(SUM(O57:P57)+(+Q57*0.5))*0.75</f>
        <v>137.7552593599064</v>
      </c>
      <c r="R70" s="266">
        <f>SUM(Q57)*0.75</f>
        <v>134.33390984631146</v>
      </c>
      <c r="S70" s="266">
        <f>SUM(R57)*0.75-39</f>
        <v>104.90383086205475</v>
      </c>
      <c r="T70" s="266">
        <v>0</v>
      </c>
      <c r="U70" s="266">
        <v>0</v>
      </c>
      <c r="V70" s="266">
        <v>0</v>
      </c>
    </row>
    <row r="71" spans="1:22" s="267" customFormat="1" ht="15.75">
      <c r="A71" s="228"/>
      <c r="B71" s="260"/>
      <c r="C71" s="262"/>
      <c r="D71" s="263"/>
      <c r="E71" s="264"/>
      <c r="F71" s="264"/>
      <c r="G71" s="264"/>
      <c r="H71" s="361"/>
      <c r="I71" s="264"/>
      <c r="J71" s="354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</row>
    <row r="72" spans="1:22" ht="12.75">
      <c r="A72" s="17" t="s">
        <v>42</v>
      </c>
      <c r="B72" s="19" t="s">
        <v>14</v>
      </c>
      <c r="C72" s="154">
        <v>1406</v>
      </c>
      <c r="D72" s="158"/>
      <c r="E72" s="193"/>
      <c r="F72" s="193"/>
      <c r="G72" s="193"/>
      <c r="H72" s="193">
        <v>1406</v>
      </c>
      <c r="I72" s="193"/>
      <c r="J72" s="297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2.75">
      <c r="A73" s="17"/>
      <c r="B73" s="7"/>
      <c r="C73" s="154"/>
      <c r="D73" s="158"/>
      <c r="E73" s="193"/>
      <c r="F73" s="193"/>
      <c r="G73" s="193"/>
      <c r="H73" s="193"/>
      <c r="I73" s="193"/>
      <c r="J73" s="297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2:22" ht="12.75">
      <c r="B74" s="19" t="s">
        <v>69</v>
      </c>
      <c r="C74" s="35">
        <v>1707</v>
      </c>
      <c r="D74" s="158"/>
      <c r="E74" s="193"/>
      <c r="F74" s="193"/>
      <c r="G74" s="193"/>
      <c r="H74" s="193"/>
      <c r="I74" s="193"/>
      <c r="J74" s="297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6" customFormat="1" ht="13.5" thickBot="1">
      <c r="A75" s="17" t="s">
        <v>45</v>
      </c>
      <c r="B75" s="16" t="s">
        <v>53</v>
      </c>
      <c r="C75" s="155" t="s">
        <v>51</v>
      </c>
      <c r="D75" s="118">
        <f>-SUM(D62:D74)+D57</f>
        <v>84.15050000000002</v>
      </c>
      <c r="E75" s="244">
        <f>-SUM(E62:E74)+E57</f>
        <v>225.8945</v>
      </c>
      <c r="F75" s="244">
        <f>-SUM(F62:F74)+F57</f>
        <v>65.48999999999998</v>
      </c>
      <c r="G75" s="244">
        <f>-SUM(G62:G74)+G57</f>
        <v>5.389499999999998</v>
      </c>
      <c r="H75" s="244">
        <f>-SUM(H59:H74)+H57</f>
        <v>-274.0919999999999</v>
      </c>
      <c r="I75" s="248">
        <f aca="true" t="shared" si="18" ref="I75:V75">-SUM(I62:I74)+I57</f>
        <v>57.849999999999994</v>
      </c>
      <c r="J75" s="352">
        <f t="shared" si="18"/>
        <v>33.712</v>
      </c>
      <c r="K75" s="248">
        <f t="shared" si="18"/>
        <v>57.373699999999985</v>
      </c>
      <c r="L75" s="248">
        <f t="shared" si="18"/>
        <v>-36.83164500000001</v>
      </c>
      <c r="M75" s="253">
        <f t="shared" si="18"/>
        <v>38.51523023437496</v>
      </c>
      <c r="N75" s="253">
        <f t="shared" si="18"/>
        <v>-21.625099297656256</v>
      </c>
      <c r="O75" s="253">
        <f t="shared" si="18"/>
        <v>49.87487328890866</v>
      </c>
      <c r="P75" s="253">
        <f t="shared" si="18"/>
        <v>-27.329198415182958</v>
      </c>
      <c r="Q75" s="278">
        <f t="shared" si="18"/>
        <v>41.35662043517553</v>
      </c>
      <c r="R75" s="244">
        <f t="shared" si="18"/>
        <v>57.537864636428225</v>
      </c>
      <c r="S75" s="278">
        <f t="shared" si="18"/>
        <v>129.1784991154588</v>
      </c>
      <c r="T75" s="244">
        <f t="shared" si="18"/>
        <v>274.4881673385059</v>
      </c>
      <c r="U75" s="278">
        <f t="shared" si="18"/>
        <v>333.94534820541844</v>
      </c>
      <c r="V75" s="244">
        <f t="shared" si="18"/>
        <v>384.2409713162491</v>
      </c>
    </row>
    <row r="76" spans="3:22" ht="14.25" thickBot="1" thickTop="1">
      <c r="C76" s="4"/>
      <c r="D76" s="158"/>
      <c r="E76" s="193"/>
      <c r="F76" s="193"/>
      <c r="G76" s="193"/>
      <c r="H76" s="193"/>
      <c r="I76" s="193"/>
      <c r="J76" s="297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176" customFormat="1" ht="13.5" thickBot="1">
      <c r="A77" s="32" t="s">
        <v>52</v>
      </c>
      <c r="B77" s="176" t="s">
        <v>168</v>
      </c>
      <c r="C77" s="216"/>
      <c r="D77" s="215">
        <f>+D75</f>
        <v>84.15050000000002</v>
      </c>
      <c r="E77" s="215">
        <f>+D77+E75</f>
        <v>310.045</v>
      </c>
      <c r="F77" s="215">
        <f aca="true" t="shared" si="19" ref="F77:R77">+E77+F75</f>
        <v>375.53499999999997</v>
      </c>
      <c r="G77" s="215">
        <f t="shared" si="19"/>
        <v>380.92449999999997</v>
      </c>
      <c r="H77" s="215">
        <f t="shared" si="19"/>
        <v>106.83250000000004</v>
      </c>
      <c r="I77" s="215">
        <f t="shared" si="19"/>
        <v>164.68250000000003</v>
      </c>
      <c r="J77" s="298">
        <f t="shared" si="19"/>
        <v>198.39450000000005</v>
      </c>
      <c r="K77" s="217">
        <f t="shared" si="19"/>
        <v>255.76820000000004</v>
      </c>
      <c r="L77" s="215">
        <f t="shared" si="19"/>
        <v>218.93655500000003</v>
      </c>
      <c r="M77" s="215">
        <f t="shared" si="19"/>
        <v>257.451785234375</v>
      </c>
      <c r="N77" s="215">
        <f t="shared" si="19"/>
        <v>235.82668593671875</v>
      </c>
      <c r="O77" s="215">
        <f t="shared" si="19"/>
        <v>285.7015592256274</v>
      </c>
      <c r="P77" s="215">
        <f t="shared" si="19"/>
        <v>258.37236081044443</v>
      </c>
      <c r="Q77" s="215">
        <f t="shared" si="19"/>
        <v>299.72898124561993</v>
      </c>
      <c r="R77" s="247">
        <f t="shared" si="19"/>
        <v>357.2668458820482</v>
      </c>
      <c r="S77" s="215">
        <f>+R77+S75</f>
        <v>486.445344997507</v>
      </c>
      <c r="T77" s="215">
        <f>+S77+T75</f>
        <v>760.9335123360129</v>
      </c>
      <c r="U77" s="215">
        <f>+T77+U75</f>
        <v>1094.8788605414313</v>
      </c>
      <c r="V77" s="215">
        <f>+U77+V75</f>
        <v>1479.1198318576803</v>
      </c>
    </row>
    <row r="78" spans="1:22" s="176" customFormat="1" ht="12.75">
      <c r="A78" s="32"/>
      <c r="C78" s="216"/>
      <c r="D78" s="215"/>
      <c r="E78" s="215"/>
      <c r="F78" s="215"/>
      <c r="G78" s="215"/>
      <c r="H78" s="215"/>
      <c r="I78" s="215"/>
      <c r="J78" s="298"/>
      <c r="K78" s="217"/>
      <c r="L78" s="215"/>
      <c r="M78" s="217"/>
      <c r="N78" s="215"/>
      <c r="O78" s="217"/>
      <c r="P78" s="217"/>
      <c r="Q78" s="217"/>
      <c r="R78" s="215"/>
      <c r="S78" s="215"/>
      <c r="T78" s="215"/>
      <c r="U78" s="215"/>
      <c r="V78" s="215"/>
    </row>
    <row r="79" spans="1:22" s="220" customFormat="1" ht="15.75">
      <c r="A79" s="221"/>
      <c r="B79" s="223" t="s">
        <v>128</v>
      </c>
      <c r="C79" s="224"/>
      <c r="D79" s="224">
        <f aca="true" t="shared" si="20" ref="D79:V79">-SUM(D63:D73)</f>
        <v>-96</v>
      </c>
      <c r="E79" s="224">
        <f t="shared" si="20"/>
        <v>213.7</v>
      </c>
      <c r="F79" s="224">
        <f t="shared" si="20"/>
        <v>-25</v>
      </c>
      <c r="G79" s="224">
        <f t="shared" si="20"/>
        <v>-25</v>
      </c>
      <c r="H79" s="224">
        <f t="shared" si="20"/>
        <v>-1051.5</v>
      </c>
      <c r="I79" s="224">
        <f t="shared" si="20"/>
        <v>0</v>
      </c>
      <c r="J79" s="300">
        <f t="shared" si="20"/>
        <v>-26.1</v>
      </c>
      <c r="K79" s="224">
        <f t="shared" si="20"/>
        <v>0</v>
      </c>
      <c r="L79" s="224">
        <f t="shared" si="20"/>
        <v>-87.889275</v>
      </c>
      <c r="M79" s="224">
        <f t="shared" si="20"/>
        <v>0</v>
      </c>
      <c r="N79" s="224">
        <f t="shared" si="20"/>
        <v>-67.17964517578122</v>
      </c>
      <c r="O79" s="224">
        <f t="shared" si="20"/>
        <v>0</v>
      </c>
      <c r="P79" s="224">
        <f t="shared" si="20"/>
        <v>-71.5720643752752</v>
      </c>
      <c r="Q79" s="224">
        <f t="shared" si="20"/>
        <v>-137.7552593599064</v>
      </c>
      <c r="R79" s="224">
        <f t="shared" si="20"/>
        <v>-134.33390984631146</v>
      </c>
      <c r="S79" s="224">
        <f t="shared" si="20"/>
        <v>-104.90383086205475</v>
      </c>
      <c r="T79" s="224">
        <f t="shared" si="20"/>
        <v>0</v>
      </c>
      <c r="U79" s="224">
        <f t="shared" si="20"/>
        <v>0</v>
      </c>
      <c r="V79" s="225">
        <f t="shared" si="20"/>
        <v>0</v>
      </c>
    </row>
    <row r="80" spans="1:22" s="232" customFormat="1" ht="16.5" thickBot="1">
      <c r="A80" s="228"/>
      <c r="B80" s="223" t="s">
        <v>127</v>
      </c>
      <c r="C80" s="224">
        <v>1891</v>
      </c>
      <c r="D80" s="224">
        <f>+C80+D79</f>
        <v>1795</v>
      </c>
      <c r="E80" s="224">
        <f aca="true" t="shared" si="21" ref="E80:V80">+D80+E79</f>
        <v>2008.7</v>
      </c>
      <c r="F80" s="224">
        <f t="shared" si="21"/>
        <v>1983.7</v>
      </c>
      <c r="G80" s="224">
        <f t="shared" si="21"/>
        <v>1958.7</v>
      </c>
      <c r="H80" s="224">
        <f t="shared" si="21"/>
        <v>907.2</v>
      </c>
      <c r="I80" s="224">
        <f t="shared" si="21"/>
        <v>907.2</v>
      </c>
      <c r="J80" s="301">
        <f t="shared" si="21"/>
        <v>881.1</v>
      </c>
      <c r="K80" s="224">
        <f t="shared" si="21"/>
        <v>881.1</v>
      </c>
      <c r="L80" s="224">
        <f t="shared" si="21"/>
        <v>793.210725</v>
      </c>
      <c r="M80" s="224">
        <f t="shared" si="21"/>
        <v>793.210725</v>
      </c>
      <c r="N80" s="224">
        <f t="shared" si="21"/>
        <v>726.0310798242188</v>
      </c>
      <c r="O80" s="224">
        <f t="shared" si="21"/>
        <v>726.0310798242188</v>
      </c>
      <c r="P80" s="224">
        <f t="shared" si="21"/>
        <v>654.4590154489435</v>
      </c>
      <c r="Q80" s="224">
        <f t="shared" si="21"/>
        <v>516.7037560890371</v>
      </c>
      <c r="R80" s="224">
        <f t="shared" si="21"/>
        <v>382.36984624272566</v>
      </c>
      <c r="S80" s="224">
        <f t="shared" si="21"/>
        <v>277.4660153806709</v>
      </c>
      <c r="T80" s="224">
        <f t="shared" si="21"/>
        <v>277.4660153806709</v>
      </c>
      <c r="U80" s="224">
        <f t="shared" si="21"/>
        <v>277.4660153806709</v>
      </c>
      <c r="V80" s="225">
        <f t="shared" si="21"/>
        <v>277.4660153806709</v>
      </c>
    </row>
    <row r="81" spans="1:22" s="232" customFormat="1" ht="15.75">
      <c r="A81" s="228"/>
      <c r="B81" s="366" t="s">
        <v>172</v>
      </c>
      <c r="C81" s="367"/>
      <c r="D81" s="367"/>
      <c r="E81" s="367"/>
      <c r="F81" s="367"/>
      <c r="G81" s="367"/>
      <c r="H81" s="367"/>
      <c r="I81" s="367">
        <f>+I80-I77</f>
        <v>742.5175</v>
      </c>
      <c r="J81" s="367">
        <f>+J80-J77</f>
        <v>682.7055</v>
      </c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</row>
    <row r="82" spans="2:14" s="356" customFormat="1" ht="15.75">
      <c r="B82" s="356" t="s">
        <v>163</v>
      </c>
      <c r="D82" s="355"/>
      <c r="H82" s="358">
        <v>1.4</v>
      </c>
      <c r="I82" s="359">
        <v>1.3</v>
      </c>
      <c r="J82" s="356">
        <v>1.3</v>
      </c>
      <c r="L82" s="355"/>
      <c r="N82" s="355"/>
    </row>
    <row r="83" spans="2:8" ht="15.75">
      <c r="B83" s="268" t="s">
        <v>50</v>
      </c>
      <c r="H83" s="4"/>
    </row>
    <row r="84" ht="15.75">
      <c r="B84" s="268"/>
    </row>
    <row r="85" ht="15.75">
      <c r="B85" s="268"/>
    </row>
    <row r="86" ht="12.75"/>
    <row r="87" spans="1:22" s="281" customFormat="1" ht="15.75">
      <c r="A87" s="280"/>
      <c r="B87" s="281" t="s">
        <v>146</v>
      </c>
      <c r="D87" s="232">
        <v>27.995</v>
      </c>
      <c r="E87" s="232">
        <f>+D87</f>
        <v>27.995</v>
      </c>
      <c r="F87" s="232">
        <f>+E87</f>
        <v>27.995</v>
      </c>
      <c r="G87" s="232">
        <f>+F87</f>
        <v>27.995</v>
      </c>
      <c r="H87" s="232">
        <v>27.995</v>
      </c>
      <c r="I87" s="232">
        <v>27.995</v>
      </c>
      <c r="J87" s="232">
        <v>27.995</v>
      </c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</row>
    <row r="88" s="281" customFormat="1" ht="15">
      <c r="A88" s="280"/>
    </row>
    <row r="89" spans="1:22" s="281" customFormat="1" ht="15.75" thickBot="1">
      <c r="A89" s="280"/>
      <c r="B89" s="281" t="s">
        <v>147</v>
      </c>
      <c r="E89" s="282">
        <v>-2869.3</v>
      </c>
      <c r="F89" s="282">
        <v>67.7</v>
      </c>
      <c r="G89" s="282">
        <v>24</v>
      </c>
      <c r="H89" s="282">
        <v>823.5</v>
      </c>
      <c r="I89" s="282">
        <v>53.5</v>
      </c>
      <c r="J89" s="282">
        <v>50.5</v>
      </c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</row>
    <row r="90" spans="1:22" s="281" customFormat="1" ht="15">
      <c r="A90" s="280"/>
      <c r="B90" s="317" t="s">
        <v>150</v>
      </c>
      <c r="C90" s="318"/>
      <c r="D90" s="318"/>
      <c r="E90" s="319"/>
      <c r="F90" s="319"/>
      <c r="G90" s="319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20"/>
    </row>
    <row r="91" spans="1:22" s="281" customFormat="1" ht="15">
      <c r="A91" s="280"/>
      <c r="B91" s="321" t="s">
        <v>161</v>
      </c>
      <c r="C91" s="322"/>
      <c r="D91" s="322"/>
      <c r="E91" s="323">
        <f>146-30</f>
        <v>116</v>
      </c>
      <c r="F91" s="323">
        <f>145.2-24.2</f>
        <v>120.99999999999999</v>
      </c>
      <c r="G91" s="323">
        <f>137.775-26.6</f>
        <v>111.17500000000001</v>
      </c>
      <c r="H91" s="323">
        <f>141.56-23.4</f>
        <v>118.16</v>
      </c>
      <c r="I91" s="323">
        <v>101.8</v>
      </c>
      <c r="J91" s="323">
        <f>+J23-14.8</f>
        <v>92.412</v>
      </c>
      <c r="K91" s="323"/>
      <c r="L91" s="324"/>
      <c r="M91" s="323"/>
      <c r="N91" s="323"/>
      <c r="O91" s="323"/>
      <c r="P91" s="323"/>
      <c r="Q91" s="323"/>
      <c r="R91" s="323"/>
      <c r="S91" s="323"/>
      <c r="T91" s="323"/>
      <c r="U91" s="323"/>
      <c r="V91" s="325"/>
    </row>
    <row r="92" spans="1:22" s="281" customFormat="1" ht="15">
      <c r="A92" s="280"/>
      <c r="B92" s="321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6"/>
    </row>
    <row r="93" spans="1:22" s="285" customFormat="1" ht="16.5" thickBot="1">
      <c r="A93" s="284"/>
      <c r="B93" s="327" t="s">
        <v>148</v>
      </c>
      <c r="C93" s="328"/>
      <c r="D93" s="328"/>
      <c r="E93" s="328"/>
      <c r="F93" s="329">
        <f>+(F91*4)/F$87</f>
        <v>17.288801571709232</v>
      </c>
      <c r="G93" s="329">
        <f>+(G91*4)/G$87</f>
        <v>15.884979460617968</v>
      </c>
      <c r="H93" s="329">
        <f>+(H91*4)/H$87</f>
        <v>16.883014824075726</v>
      </c>
      <c r="I93" s="329">
        <f>+(I91*4)/I$87</f>
        <v>14.545454545454545</v>
      </c>
      <c r="J93" s="329">
        <f>+(J91*4)/J$87</f>
        <v>13.204072155742097</v>
      </c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30"/>
    </row>
    <row r="94" s="281" customFormat="1" ht="15">
      <c r="A94" s="280"/>
    </row>
    <row r="95" spans="1:10" s="285" customFormat="1" ht="15.75">
      <c r="A95" s="284"/>
      <c r="B95" s="285" t="s">
        <v>149</v>
      </c>
      <c r="E95" s="286">
        <f aca="true" t="shared" si="22" ref="E95:J95">+E23/E$87*4</f>
        <v>20.860868012145026</v>
      </c>
      <c r="F95" s="286">
        <f t="shared" si="22"/>
        <v>20.74656188605108</v>
      </c>
      <c r="G95" s="286">
        <f t="shared" si="22"/>
        <v>19.689230219682088</v>
      </c>
      <c r="H95" s="286">
        <f t="shared" si="22"/>
        <v>20.225040185747456</v>
      </c>
      <c r="I95" s="286">
        <f t="shared" si="22"/>
        <v>16.50294695481336</v>
      </c>
      <c r="J95" s="286">
        <f t="shared" si="22"/>
        <v>15.318735488480085</v>
      </c>
    </row>
    <row r="96" spans="1:10" s="285" customFormat="1" ht="15.75">
      <c r="A96" s="284"/>
      <c r="E96" s="286"/>
      <c r="F96" s="286"/>
      <c r="G96" s="286"/>
      <c r="H96" s="286"/>
      <c r="I96" s="286"/>
      <c r="J96" s="286"/>
    </row>
    <row r="97" spans="1:10" s="285" customFormat="1" ht="15.75">
      <c r="A97" s="284"/>
      <c r="B97" s="285" t="s">
        <v>166</v>
      </c>
      <c r="E97" s="286"/>
      <c r="F97" s="286"/>
      <c r="G97" s="286"/>
      <c r="H97" s="286"/>
      <c r="I97" s="286">
        <v>11.79</v>
      </c>
      <c r="J97" s="286">
        <v>12.25</v>
      </c>
    </row>
    <row r="98" spans="1:10" s="285" customFormat="1" ht="15.75">
      <c r="A98" s="284"/>
      <c r="B98" s="285" t="s">
        <v>167</v>
      </c>
      <c r="E98" s="286"/>
      <c r="F98" s="286"/>
      <c r="G98" s="286"/>
      <c r="H98" s="286"/>
      <c r="I98" s="357">
        <f>+I97/I93</f>
        <v>0.8105625</v>
      </c>
      <c r="J98" s="357">
        <f>+J97/J93</f>
        <v>0.9277440970869584</v>
      </c>
    </row>
    <row r="100" spans="1:22" s="96" customFormat="1" ht="15.75">
      <c r="A100" s="302"/>
      <c r="B100" s="303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5"/>
    </row>
    <row r="101" spans="1:22" s="96" customFormat="1" ht="15.75">
      <c r="A101" s="302"/>
      <c r="B101" s="306" t="s">
        <v>152</v>
      </c>
      <c r="C101" s="307"/>
      <c r="D101" s="307"/>
      <c r="E101" s="307"/>
      <c r="F101" s="307"/>
      <c r="G101" s="307"/>
      <c r="H101" s="308">
        <v>61.75</v>
      </c>
      <c r="I101" s="308">
        <v>86.6</v>
      </c>
      <c r="J101" s="308">
        <v>86.5</v>
      </c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9"/>
    </row>
    <row r="102" spans="1:22" s="96" customFormat="1" ht="15.75">
      <c r="A102" s="302"/>
      <c r="B102" s="306" t="s">
        <v>153</v>
      </c>
      <c r="C102" s="307"/>
      <c r="D102" s="307"/>
      <c r="E102" s="307"/>
      <c r="F102" s="307"/>
      <c r="G102" s="307"/>
      <c r="H102" s="308">
        <v>47.98</v>
      </c>
      <c r="I102" s="308">
        <v>67.7</v>
      </c>
      <c r="J102" s="308">
        <v>68.5</v>
      </c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9"/>
    </row>
    <row r="103" spans="1:22" s="96" customFormat="1" ht="15.75">
      <c r="A103" s="302"/>
      <c r="B103" s="306"/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9"/>
    </row>
    <row r="104" spans="1:22" s="96" customFormat="1" ht="15.75">
      <c r="A104" s="302"/>
      <c r="B104" s="306" t="s">
        <v>154</v>
      </c>
      <c r="C104" s="307"/>
      <c r="D104" s="307"/>
      <c r="E104" s="307"/>
      <c r="F104" s="307"/>
      <c r="G104" s="307"/>
      <c r="H104" s="310">
        <f>+H101/$H$87</f>
        <v>2.2057510269691014</v>
      </c>
      <c r="I104" s="310">
        <f>+I101/$H$87</f>
        <v>3.0934095374173958</v>
      </c>
      <c r="J104" s="310">
        <f>+J101/$H$87</f>
        <v>3.0898374709769603</v>
      </c>
      <c r="K104" s="307"/>
      <c r="L104" s="307"/>
      <c r="M104" s="307"/>
      <c r="N104" s="307"/>
      <c r="O104" s="307"/>
      <c r="P104" s="307"/>
      <c r="Q104" s="307"/>
      <c r="R104" s="307"/>
      <c r="S104" s="307"/>
      <c r="T104" s="307"/>
      <c r="U104" s="307"/>
      <c r="V104" s="309"/>
    </row>
    <row r="105" spans="1:22" s="96" customFormat="1" ht="15.75">
      <c r="A105" s="302"/>
      <c r="B105" s="306" t="s">
        <v>155</v>
      </c>
      <c r="C105" s="307"/>
      <c r="D105" s="307"/>
      <c r="E105" s="307"/>
      <c r="F105" s="307"/>
      <c r="G105" s="307"/>
      <c r="H105" s="310">
        <f>+H$102/H$87</f>
        <v>1.7138774781210928</v>
      </c>
      <c r="I105" s="310">
        <f>+I$102/H$87</f>
        <v>2.4182889801750314</v>
      </c>
      <c r="J105" s="310">
        <f>+J$102/I$87</f>
        <v>2.4468655116985176</v>
      </c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9"/>
    </row>
    <row r="106" spans="1:22" s="96" customFormat="1" ht="15.75">
      <c r="A106" s="302"/>
      <c r="B106" s="311" t="s">
        <v>162</v>
      </c>
      <c r="C106" s="312"/>
      <c r="D106" s="312"/>
      <c r="E106" s="312"/>
      <c r="F106" s="312"/>
      <c r="G106" s="312"/>
      <c r="H106" s="313">
        <f>+H105*4</f>
        <v>6.855509912484371</v>
      </c>
      <c r="I106" s="313">
        <f>+I105*4</f>
        <v>9.673155920700125</v>
      </c>
      <c r="J106" s="313">
        <f>+J105*4</f>
        <v>9.78746204679407</v>
      </c>
      <c r="K106" s="312"/>
      <c r="L106" s="312"/>
      <c r="M106" s="312"/>
      <c r="N106" s="312"/>
      <c r="O106" s="312"/>
      <c r="P106" s="312"/>
      <c r="Q106" s="312"/>
      <c r="R106" s="312"/>
      <c r="S106" s="312"/>
      <c r="T106" s="312"/>
      <c r="U106" s="312"/>
      <c r="V106" s="314"/>
    </row>
    <row r="107" s="16" customFormat="1" ht="12.75">
      <c r="A107" s="17"/>
    </row>
    <row r="108" ht="20.25">
      <c r="B108" s="316" t="s">
        <v>156</v>
      </c>
    </row>
    <row r="109" ht="20.25">
      <c r="B109" s="315" t="s">
        <v>158</v>
      </c>
    </row>
    <row r="110" ht="20.25">
      <c r="B110" s="315" t="s">
        <v>159</v>
      </c>
    </row>
    <row r="111" ht="20.25">
      <c r="B111" s="315" t="s">
        <v>157</v>
      </c>
    </row>
    <row r="112" spans="2:19" ht="14.25" customHeight="1" thickBot="1">
      <c r="B112" s="368"/>
      <c r="C112" s="369"/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</row>
    <row r="113" spans="1:19" ht="12.75">
      <c r="A113" s="375"/>
      <c r="B113" s="390"/>
      <c r="C113" s="376"/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7"/>
      <c r="S113" s="369"/>
    </row>
    <row r="114" spans="1:19" ht="21" thickBot="1">
      <c r="A114" s="375"/>
      <c r="B114" s="394"/>
      <c r="C114" s="393" t="s">
        <v>173</v>
      </c>
      <c r="D114" s="378"/>
      <c r="E114" s="378"/>
      <c r="F114" s="378"/>
      <c r="G114" s="378"/>
      <c r="H114" s="397" t="str">
        <f>H4</f>
        <v>2012 - Q4</v>
      </c>
      <c r="I114" s="397" t="str">
        <f aca="true" t="shared" si="23" ref="I114:Q114">I4</f>
        <v>2013 - Q1</v>
      </c>
      <c r="J114" s="398" t="str">
        <f t="shared" si="23"/>
        <v>2013 - Q2</v>
      </c>
      <c r="K114" s="397" t="str">
        <f t="shared" si="23"/>
        <v>2013 - Q3</v>
      </c>
      <c r="L114" s="397" t="str">
        <f t="shared" si="23"/>
        <v>2013 - Q4</v>
      </c>
      <c r="M114" s="397" t="str">
        <f t="shared" si="23"/>
        <v>2014 - Q1</v>
      </c>
      <c r="N114" s="397" t="str">
        <f t="shared" si="23"/>
        <v>2014 - Q2</v>
      </c>
      <c r="O114" s="397" t="str">
        <f t="shared" si="23"/>
        <v>2014 - Q3</v>
      </c>
      <c r="P114" s="397" t="str">
        <f t="shared" si="23"/>
        <v>2014 - Q4</v>
      </c>
      <c r="Q114" s="397">
        <f t="shared" si="23"/>
        <v>2015</v>
      </c>
      <c r="R114" s="379"/>
      <c r="S114" s="369"/>
    </row>
    <row r="115" spans="1:19" ht="12.75">
      <c r="A115" s="375"/>
      <c r="B115" s="391"/>
      <c r="C115" s="378"/>
      <c r="D115" s="378"/>
      <c r="E115" s="378"/>
      <c r="F115" s="378"/>
      <c r="G115" s="380" t="s">
        <v>177</v>
      </c>
      <c r="H115" s="381">
        <f>1-H22/G22</f>
        <v>0.012327231976092645</v>
      </c>
      <c r="I115" s="381">
        <f aca="true" t="shared" si="24" ref="I115:O115">1-I22/H22</f>
        <v>0.04198184568835084</v>
      </c>
      <c r="J115" s="370">
        <f t="shared" si="24"/>
        <v>0.03987366758784061</v>
      </c>
      <c r="K115" s="381">
        <f t="shared" si="24"/>
        <v>0.019654605263157987</v>
      </c>
      <c r="L115" s="381">
        <f t="shared" si="24"/>
        <v>0.018272376478483343</v>
      </c>
      <c r="M115" s="381">
        <f t="shared" si="24"/>
        <v>0.016873893195649914</v>
      </c>
      <c r="N115" s="381">
        <f t="shared" si="24"/>
        <v>0.015462966307723036</v>
      </c>
      <c r="O115" s="381">
        <f t="shared" si="24"/>
        <v>0.014043547044825133</v>
      </c>
      <c r="P115" s="381">
        <f>1-P22/O22</f>
        <v>0.01261968348745135</v>
      </c>
      <c r="Q115" s="381">
        <v>0</v>
      </c>
      <c r="R115" s="379"/>
      <c r="S115" s="369"/>
    </row>
    <row r="116" spans="1:19" ht="12.75">
      <c r="A116" s="375"/>
      <c r="B116" s="391"/>
      <c r="C116" s="378"/>
      <c r="D116" s="378"/>
      <c r="E116" s="378"/>
      <c r="F116" s="378"/>
      <c r="G116" s="380" t="s">
        <v>172</v>
      </c>
      <c r="H116" s="382">
        <v>782</v>
      </c>
      <c r="I116" s="382">
        <v>724</v>
      </c>
      <c r="J116" s="371">
        <v>664</v>
      </c>
      <c r="K116" s="382">
        <f>K80-K77</f>
        <v>625.3317999999999</v>
      </c>
      <c r="L116" s="382">
        <f>L80-L77-107.5</f>
        <v>466.77417</v>
      </c>
      <c r="M116" s="382">
        <f>M80-M77-107.5</f>
        <v>428.258939765625</v>
      </c>
      <c r="N116" s="382">
        <f>N80-N77-107.5</f>
        <v>382.70439388750003</v>
      </c>
      <c r="O116" s="382">
        <f>O80-O77-107.5</f>
        <v>332.82952059859133</v>
      </c>
      <c r="P116" s="382">
        <f>P80-P77-107.5</f>
        <v>288.5866546384991</v>
      </c>
      <c r="Q116" s="382">
        <f>Q80-Q77-107.5</f>
        <v>109.47477484341721</v>
      </c>
      <c r="R116" s="379"/>
      <c r="S116" s="369"/>
    </row>
    <row r="117" spans="1:19" ht="12.75">
      <c r="A117" s="375"/>
      <c r="B117" s="391"/>
      <c r="C117" s="378"/>
      <c r="D117" s="378"/>
      <c r="E117" s="378"/>
      <c r="F117" s="378"/>
      <c r="G117" s="380" t="s">
        <v>181</v>
      </c>
      <c r="H117" s="382">
        <f>H23*4</f>
        <v>566.2</v>
      </c>
      <c r="I117" s="382">
        <f>I23*4</f>
        <v>462</v>
      </c>
      <c r="J117" s="371">
        <f>J23*4</f>
        <v>428.848</v>
      </c>
      <c r="K117" s="382">
        <f>K23*4</f>
        <v>417.05279999999993</v>
      </c>
      <c r="L117" s="382">
        <f>L23*4</f>
        <v>408.90851999999995</v>
      </c>
      <c r="M117" s="382">
        <f>M23*4</f>
        <v>401.48916299999985</v>
      </c>
      <c r="N117" s="382">
        <f>N23*4</f>
        <v>394.76642557499986</v>
      </c>
      <c r="O117" s="382">
        <f>O23*4</f>
        <v>388.71361803937486</v>
      </c>
      <c r="P117" s="382">
        <f>P23*4</f>
        <v>383.3055887241092</v>
      </c>
      <c r="Q117" s="382">
        <f>Q23</f>
        <v>383.3055887241092</v>
      </c>
      <c r="R117" s="379"/>
      <c r="S117" s="369"/>
    </row>
    <row r="118" spans="1:19" ht="12.75">
      <c r="A118" s="375"/>
      <c r="B118" s="391"/>
      <c r="C118" s="378"/>
      <c r="D118" s="378"/>
      <c r="E118" s="378"/>
      <c r="F118" s="378"/>
      <c r="G118" s="380" t="s">
        <v>93</v>
      </c>
      <c r="H118" s="383">
        <v>27.995</v>
      </c>
      <c r="I118" s="383">
        <v>27.995</v>
      </c>
      <c r="J118" s="372">
        <v>27.995</v>
      </c>
      <c r="K118" s="383">
        <v>27.995</v>
      </c>
      <c r="L118" s="384">
        <f>27.995+107.5/19.04</f>
        <v>33.64100840336135</v>
      </c>
      <c r="M118" s="384">
        <f>27.995+107.5/19.04</f>
        <v>33.64100840336135</v>
      </c>
      <c r="N118" s="384">
        <f>27.995+107.5/19.04</f>
        <v>33.64100840336135</v>
      </c>
      <c r="O118" s="384">
        <f>27.995+107.5/19.04</f>
        <v>33.64100840336135</v>
      </c>
      <c r="P118" s="384">
        <f>27.995+107.5/19.04</f>
        <v>33.64100840336135</v>
      </c>
      <c r="Q118" s="384">
        <f>27.995+107.5/19.04</f>
        <v>33.64100840336135</v>
      </c>
      <c r="R118" s="379"/>
      <c r="S118" s="369"/>
    </row>
    <row r="119" spans="1:19" ht="12.75">
      <c r="A119" s="375"/>
      <c r="B119" s="391"/>
      <c r="C119" s="378"/>
      <c r="D119" s="378"/>
      <c r="E119" s="378"/>
      <c r="F119" s="378"/>
      <c r="G119" s="380" t="s">
        <v>176</v>
      </c>
      <c r="H119" s="385">
        <v>6.57</v>
      </c>
      <c r="I119" s="385">
        <v>9.34</v>
      </c>
      <c r="J119" s="373">
        <v>11.3</v>
      </c>
      <c r="K119" s="385">
        <f>(K117*K120-K116)/K118</f>
        <v>16.719087247281458</v>
      </c>
      <c r="L119" s="385">
        <f>(L117*L120-L116)/L118</f>
        <v>21.516666727998864</v>
      </c>
      <c r="M119" s="385">
        <f>(M117*M120-M116)/M118</f>
        <v>25.480469878237844</v>
      </c>
      <c r="N119" s="385">
        <f>(N117*N120-N116)/N118</f>
        <v>29.597906924952042</v>
      </c>
      <c r="O119" s="385">
        <f>(O117*O120-O116)/O118</f>
        <v>33.80316977279253</v>
      </c>
      <c r="P119" s="385">
        <f>(P117*P120-P116)/P118</f>
        <v>37.814700410134215</v>
      </c>
      <c r="Q119" s="385">
        <f>(Q117*Q120-Q116)/Q118</f>
        <v>43.13891297973083</v>
      </c>
      <c r="R119" s="379"/>
      <c r="S119" s="369"/>
    </row>
    <row r="120" spans="1:19" ht="12.75">
      <c r="A120" s="375"/>
      <c r="B120" s="391"/>
      <c r="C120" s="378"/>
      <c r="D120" s="378"/>
      <c r="E120" s="378"/>
      <c r="F120" s="378"/>
      <c r="G120" s="380" t="s">
        <v>174</v>
      </c>
      <c r="H120" s="386">
        <f>(H116+H118*H119)/H117</f>
        <v>1.705982250088308</v>
      </c>
      <c r="I120" s="386">
        <f>(I116+I118*I119)/I117</f>
        <v>2.1330590909090907</v>
      </c>
      <c r="J120" s="374">
        <f>(J116+J118*J119)/J117</f>
        <v>2.285992939223221</v>
      </c>
      <c r="K120" s="386">
        <v>2.62168878254179</v>
      </c>
      <c r="L120" s="386">
        <v>2.91169412710925</v>
      </c>
      <c r="M120" s="386">
        <v>3.2016994716767</v>
      </c>
      <c r="N120" s="386">
        <v>3.49170481624416</v>
      </c>
      <c r="O120" s="386">
        <v>3.78171016081163</v>
      </c>
      <c r="P120" s="386">
        <v>4.07171550537909</v>
      </c>
      <c r="Q120" s="386">
        <f>P120</f>
        <v>4.07171550537909</v>
      </c>
      <c r="R120" s="379"/>
      <c r="S120" s="369"/>
    </row>
    <row r="121" spans="1:19" ht="12.75">
      <c r="A121" s="375"/>
      <c r="B121" s="391"/>
      <c r="C121" s="378"/>
      <c r="D121" s="378"/>
      <c r="E121" s="378"/>
      <c r="F121" s="378"/>
      <c r="G121" s="395" t="s">
        <v>180</v>
      </c>
      <c r="H121" s="386">
        <f>H116/H117</f>
        <v>1.3811374072765805</v>
      </c>
      <c r="I121" s="386">
        <f aca="true" t="shared" si="25" ref="I121:Q121">I116/I117</f>
        <v>1.567099567099567</v>
      </c>
      <c r="J121" s="374">
        <f t="shared" si="25"/>
        <v>1.5483341417005558</v>
      </c>
      <c r="K121" s="386">
        <f t="shared" si="25"/>
        <v>1.4994067897398125</v>
      </c>
      <c r="L121" s="386">
        <f t="shared" si="25"/>
        <v>1.1415124585812007</v>
      </c>
      <c r="M121" s="386">
        <f t="shared" si="25"/>
        <v>1.0666762125423175</v>
      </c>
      <c r="N121" s="386">
        <f t="shared" si="25"/>
        <v>0.9694451429856762</v>
      </c>
      <c r="O121" s="386">
        <f t="shared" si="25"/>
        <v>0.8562332399810013</v>
      </c>
      <c r="P121" s="386">
        <f t="shared" si="25"/>
        <v>0.7528892432774162</v>
      </c>
      <c r="Q121" s="386">
        <f t="shared" si="25"/>
        <v>0.28560704060647957</v>
      </c>
      <c r="R121" s="379"/>
      <c r="S121" s="369"/>
    </row>
    <row r="122" spans="1:19" ht="12.75">
      <c r="A122" s="375"/>
      <c r="B122" s="391"/>
      <c r="C122" s="378"/>
      <c r="D122" s="378"/>
      <c r="E122" s="378"/>
      <c r="F122" s="378"/>
      <c r="G122" s="380" t="s">
        <v>185</v>
      </c>
      <c r="H122" s="378"/>
      <c r="I122" s="399">
        <f>I57*4/I119/I118</f>
        <v>0.8849851973413728</v>
      </c>
      <c r="J122" s="400">
        <f aca="true" t="shared" si="26" ref="J122:Q122">J57*4/J119/J118</f>
        <v>0.7562918157003383</v>
      </c>
      <c r="K122" s="399">
        <f t="shared" si="26"/>
        <v>0.4903202317266569</v>
      </c>
      <c r="L122" s="399">
        <f t="shared" si="26"/>
        <v>0.2821477845648086</v>
      </c>
      <c r="M122" s="399">
        <f t="shared" si="26"/>
        <v>0.17972812836272914</v>
      </c>
      <c r="N122" s="399">
        <f t="shared" si="26"/>
        <v>0.18300447402351808</v>
      </c>
      <c r="O122" s="399">
        <f t="shared" si="26"/>
        <v>0.1754346458809284</v>
      </c>
      <c r="P122" s="399">
        <f t="shared" si="26"/>
        <v>0.13911487624002747</v>
      </c>
      <c r="Q122" s="399">
        <f>Q57/Q119/Q118</f>
        <v>0.1234201838163665</v>
      </c>
      <c r="R122" s="379"/>
      <c r="S122" s="369"/>
    </row>
    <row r="123" spans="1:19" ht="12.75">
      <c r="A123" s="375"/>
      <c r="B123" s="391"/>
      <c r="C123" s="378"/>
      <c r="D123" s="378"/>
      <c r="E123" s="378"/>
      <c r="F123" s="378"/>
      <c r="G123" s="378"/>
      <c r="H123" s="378"/>
      <c r="I123" s="378"/>
      <c r="J123" s="378"/>
      <c r="K123" s="378"/>
      <c r="L123" s="395" t="s">
        <v>179</v>
      </c>
      <c r="M123" s="378"/>
      <c r="N123" s="378"/>
      <c r="O123" s="378"/>
      <c r="P123" s="378"/>
      <c r="Q123" s="378"/>
      <c r="R123" s="379"/>
      <c r="S123" s="369"/>
    </row>
    <row r="124" spans="1:19" ht="12.75">
      <c r="A124" s="375"/>
      <c r="B124" s="391"/>
      <c r="C124" s="378"/>
      <c r="D124" s="378"/>
      <c r="E124" s="378"/>
      <c r="F124" s="378"/>
      <c r="G124" s="378"/>
      <c r="H124" s="378"/>
      <c r="I124" s="378"/>
      <c r="J124" s="378"/>
      <c r="K124" s="378"/>
      <c r="L124" s="387" t="s">
        <v>183</v>
      </c>
      <c r="M124" s="378"/>
      <c r="N124" s="378"/>
      <c r="O124" s="378"/>
      <c r="P124" s="378"/>
      <c r="Q124" s="378"/>
      <c r="R124" s="379"/>
      <c r="S124" s="369"/>
    </row>
    <row r="125" spans="1:19" ht="12.75">
      <c r="A125" s="375"/>
      <c r="B125" s="391"/>
      <c r="C125" s="378"/>
      <c r="D125" s="378"/>
      <c r="E125" s="378"/>
      <c r="F125" s="378"/>
      <c r="G125" s="378"/>
      <c r="H125" s="378"/>
      <c r="I125" s="378"/>
      <c r="J125" s="378"/>
      <c r="K125" s="378"/>
      <c r="L125" s="387" t="s">
        <v>178</v>
      </c>
      <c r="M125" s="378"/>
      <c r="N125" s="378"/>
      <c r="O125" s="378"/>
      <c r="P125" s="378"/>
      <c r="Q125" s="378"/>
      <c r="R125" s="379"/>
      <c r="S125" s="369"/>
    </row>
    <row r="126" spans="1:19" ht="12.75">
      <c r="A126" s="375"/>
      <c r="B126" s="391"/>
      <c r="C126" s="378"/>
      <c r="D126" s="378"/>
      <c r="E126" s="378"/>
      <c r="F126" s="378"/>
      <c r="G126" s="378"/>
      <c r="H126" s="378"/>
      <c r="I126" s="378"/>
      <c r="J126" s="378"/>
      <c r="K126" s="378"/>
      <c r="L126" s="387" t="s">
        <v>182</v>
      </c>
      <c r="M126" s="378"/>
      <c r="N126" s="378"/>
      <c r="O126" s="378"/>
      <c r="P126" s="378"/>
      <c r="Q126" s="378"/>
      <c r="R126" s="379"/>
      <c r="S126" s="369"/>
    </row>
    <row r="127" spans="1:19" ht="12.75">
      <c r="A127" s="375"/>
      <c r="B127" s="391"/>
      <c r="C127" s="378"/>
      <c r="D127" s="378"/>
      <c r="E127" s="378"/>
      <c r="F127" s="378"/>
      <c r="G127" s="378"/>
      <c r="H127" s="378"/>
      <c r="I127" s="378"/>
      <c r="J127" s="378"/>
      <c r="K127" s="378"/>
      <c r="L127" s="387" t="s">
        <v>175</v>
      </c>
      <c r="M127" s="378"/>
      <c r="N127" s="378"/>
      <c r="O127" s="378"/>
      <c r="P127" s="378"/>
      <c r="Q127" s="378"/>
      <c r="R127" s="379"/>
      <c r="S127" s="369"/>
    </row>
    <row r="128" spans="1:19" ht="12.75">
      <c r="A128" s="375"/>
      <c r="B128" s="391"/>
      <c r="C128" s="378"/>
      <c r="D128" s="378"/>
      <c r="E128" s="378"/>
      <c r="F128" s="378"/>
      <c r="G128" s="378"/>
      <c r="H128" s="378"/>
      <c r="I128" s="378"/>
      <c r="J128" s="378"/>
      <c r="K128" s="378"/>
      <c r="L128" s="396" t="s">
        <v>184</v>
      </c>
      <c r="M128" s="378"/>
      <c r="N128" s="378"/>
      <c r="O128" s="378"/>
      <c r="P128" s="378"/>
      <c r="Q128" s="378"/>
      <c r="R128" s="379"/>
      <c r="S128" s="369"/>
    </row>
    <row r="129" spans="1:19" ht="13.5" thickBot="1">
      <c r="A129" s="375"/>
      <c r="B129" s="392"/>
      <c r="C129" s="388"/>
      <c r="D129" s="388"/>
      <c r="E129" s="388"/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  <c r="P129" s="388"/>
      <c r="Q129" s="388"/>
      <c r="R129" s="389"/>
      <c r="S129" s="369"/>
    </row>
    <row r="130" spans="2:19" ht="12.75">
      <c r="B130" s="369"/>
      <c r="C130" s="369"/>
      <c r="D130" s="369"/>
      <c r="E130" s="369"/>
      <c r="F130" s="369"/>
      <c r="G130" s="369"/>
      <c r="H130" s="369"/>
      <c r="I130" s="369"/>
      <c r="J130" s="369"/>
      <c r="K130" s="369"/>
      <c r="L130" s="369"/>
      <c r="M130" s="369"/>
      <c r="N130" s="369"/>
      <c r="O130" s="369"/>
      <c r="P130" s="369"/>
      <c r="Q130" s="369"/>
      <c r="R130" s="369"/>
      <c r="S130" s="36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10.00390625" style="0" customWidth="1"/>
    <col min="5" max="16" width="10.8515625" style="0" customWidth="1"/>
    <col min="19" max="19" width="8.28125" style="0" customWidth="1"/>
    <col min="20" max="20" width="8.00390625" style="10" customWidth="1"/>
    <col min="21" max="21" width="9.140625" style="5" customWidth="1"/>
  </cols>
  <sheetData>
    <row r="1" spans="2:9" ht="30">
      <c r="B1" t="s">
        <v>72</v>
      </c>
      <c r="G1" s="64"/>
      <c r="H1" s="65" t="s">
        <v>38</v>
      </c>
      <c r="I1" s="64"/>
    </row>
    <row r="2" ht="12.75"/>
    <row r="3" spans="1:21" s="16" customFormat="1" ht="12.75">
      <c r="A3" s="17"/>
      <c r="D3" s="17" t="s">
        <v>56</v>
      </c>
      <c r="E3" s="67" t="s">
        <v>63</v>
      </c>
      <c r="F3" s="66" t="s">
        <v>64</v>
      </c>
      <c r="T3" s="24"/>
      <c r="U3" s="23"/>
    </row>
    <row r="4" spans="1:21" s="19" customFormat="1" ht="12.75">
      <c r="A4" s="17"/>
      <c r="C4" s="19" t="s">
        <v>36</v>
      </c>
      <c r="D4" s="43" t="s">
        <v>20</v>
      </c>
      <c r="E4" s="20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19">
        <v>2015</v>
      </c>
      <c r="R4" s="19">
        <v>2016</v>
      </c>
      <c r="S4" s="17" t="s">
        <v>46</v>
      </c>
      <c r="T4" s="24"/>
      <c r="U4" s="23"/>
    </row>
    <row r="5" spans="1:21" s="2" customFormat="1" ht="12.75">
      <c r="A5" s="31"/>
      <c r="B5" s="53" t="s">
        <v>57</v>
      </c>
      <c r="C5" s="3"/>
      <c r="D5" s="44"/>
      <c r="T5" s="9"/>
      <c r="U5" s="11"/>
    </row>
    <row r="6" spans="1:21" s="26" customFormat="1" ht="13.5" thickBot="1">
      <c r="A6" s="32" t="s">
        <v>15</v>
      </c>
      <c r="B6" s="25" t="s">
        <v>16</v>
      </c>
      <c r="C6" s="25"/>
      <c r="D6" s="45">
        <v>155</v>
      </c>
      <c r="E6" s="30">
        <v>150</v>
      </c>
      <c r="F6" s="30">
        <f>+E6</f>
        <v>150</v>
      </c>
      <c r="G6" s="30">
        <f aca="true" t="shared" si="0" ref="G6:P6">+F6</f>
        <v>150</v>
      </c>
      <c r="H6" s="30">
        <f t="shared" si="0"/>
        <v>150</v>
      </c>
      <c r="I6" s="30">
        <f t="shared" si="0"/>
        <v>150</v>
      </c>
      <c r="J6" s="30">
        <f t="shared" si="0"/>
        <v>150</v>
      </c>
      <c r="K6" s="30">
        <f t="shared" si="0"/>
        <v>150</v>
      </c>
      <c r="L6" s="30">
        <f t="shared" si="0"/>
        <v>150</v>
      </c>
      <c r="M6" s="30">
        <f t="shared" si="0"/>
        <v>150</v>
      </c>
      <c r="N6" s="30">
        <f t="shared" si="0"/>
        <v>150</v>
      </c>
      <c r="O6" s="30">
        <f t="shared" si="0"/>
        <v>150</v>
      </c>
      <c r="P6" s="30">
        <f t="shared" si="0"/>
        <v>150</v>
      </c>
      <c r="Q6" s="30">
        <f>+P6*4</f>
        <v>600</v>
      </c>
      <c r="R6" s="30">
        <f>+Q6</f>
        <v>600</v>
      </c>
      <c r="T6" s="28"/>
      <c r="U6" s="29"/>
    </row>
    <row r="7" spans="1:21" s="26" customFormat="1" ht="13.5" thickTop="1">
      <c r="A7" s="32"/>
      <c r="B7" s="25"/>
      <c r="C7" s="25"/>
      <c r="D7" s="46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T7" s="28"/>
      <c r="U7" s="29"/>
    </row>
    <row r="8" spans="1:21" s="2" customFormat="1" ht="12.75">
      <c r="A8" s="31"/>
      <c r="B8" s="53" t="s">
        <v>47</v>
      </c>
      <c r="D8" s="4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T8" s="9"/>
      <c r="U8" s="11"/>
    </row>
    <row r="9" spans="1:21" s="2" customFormat="1" ht="12.75">
      <c r="A9" s="31"/>
      <c r="B9" s="25" t="s">
        <v>17</v>
      </c>
      <c r="D9" s="47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T9" s="9"/>
      <c r="U9" s="11"/>
    </row>
    <row r="10" spans="1:21" s="2" customFormat="1" ht="12.75">
      <c r="A10" s="31"/>
      <c r="B10" s="1" t="s">
        <v>0</v>
      </c>
      <c r="D10" s="47">
        <f>266*0.05/4</f>
        <v>3.325</v>
      </c>
      <c r="E10" s="12">
        <v>2.07</v>
      </c>
      <c r="F10" s="12">
        <v>1.7825</v>
      </c>
      <c r="G10" s="12">
        <v>1.495</v>
      </c>
      <c r="H10" s="12">
        <v>1.2075</v>
      </c>
      <c r="I10" s="12">
        <v>0.92</v>
      </c>
      <c r="J10" s="12"/>
      <c r="K10" s="12"/>
      <c r="L10" s="12"/>
      <c r="M10" s="12"/>
      <c r="N10" s="12"/>
      <c r="O10" s="12"/>
      <c r="P10" s="12"/>
      <c r="Q10" s="12"/>
      <c r="R10" s="12"/>
      <c r="T10" s="9"/>
      <c r="U10" s="11"/>
    </row>
    <row r="11" spans="1:21" s="2" customFormat="1" ht="12.75">
      <c r="A11" s="31"/>
      <c r="B11" s="1" t="s">
        <v>25</v>
      </c>
      <c r="C11" s="68" t="s">
        <v>65</v>
      </c>
      <c r="D11" s="47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T11" s="9"/>
      <c r="U11" s="11"/>
    </row>
    <row r="12" spans="1:21" s="2" customFormat="1" ht="12.75">
      <c r="A12" s="31"/>
      <c r="B12" s="1" t="s">
        <v>34</v>
      </c>
      <c r="D12" s="47">
        <f aca="true" t="shared" si="1" ref="D12:P12">+$U39/4</f>
        <v>2.875</v>
      </c>
      <c r="E12" s="12">
        <f t="shared" si="1"/>
        <v>2.875</v>
      </c>
      <c r="F12" s="12">
        <f t="shared" si="1"/>
        <v>2.875</v>
      </c>
      <c r="G12" s="12">
        <f t="shared" si="1"/>
        <v>2.875</v>
      </c>
      <c r="H12" s="12">
        <f t="shared" si="1"/>
        <v>2.875</v>
      </c>
      <c r="I12" s="12">
        <f t="shared" si="1"/>
        <v>2.875</v>
      </c>
      <c r="J12" s="12">
        <f t="shared" si="1"/>
        <v>2.875</v>
      </c>
      <c r="K12" s="12">
        <f t="shared" si="1"/>
        <v>2.875</v>
      </c>
      <c r="L12" s="12">
        <f t="shared" si="1"/>
        <v>2.875</v>
      </c>
      <c r="M12" s="12">
        <f t="shared" si="1"/>
        <v>2.875</v>
      </c>
      <c r="N12" s="12">
        <f t="shared" si="1"/>
        <v>2.875</v>
      </c>
      <c r="O12" s="12">
        <f t="shared" si="1"/>
        <v>2.875</v>
      </c>
      <c r="P12" s="12">
        <f t="shared" si="1"/>
        <v>2.875</v>
      </c>
      <c r="Q12" s="12">
        <f>+P12*4</f>
        <v>11.5</v>
      </c>
      <c r="R12" s="12">
        <f>+Q12</f>
        <v>11.5</v>
      </c>
      <c r="T12" s="9"/>
      <c r="U12" s="11"/>
    </row>
    <row r="13" spans="1:21" s="2" customFormat="1" ht="12.75">
      <c r="A13" s="31"/>
      <c r="B13" s="1" t="s">
        <v>14</v>
      </c>
      <c r="D13" s="47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T13" s="9"/>
      <c r="U13" s="11"/>
    </row>
    <row r="14" spans="1:21" s="2" customFormat="1" ht="12.75">
      <c r="A14" s="31"/>
      <c r="B14" s="7" t="s">
        <v>27</v>
      </c>
      <c r="D14" s="47">
        <f aca="true" t="shared" si="2" ref="D14:P21">+$U41/4</f>
        <v>2.1125000000000003</v>
      </c>
      <c r="E14" s="12">
        <f t="shared" si="2"/>
        <v>2.1125000000000003</v>
      </c>
      <c r="F14" s="12">
        <f t="shared" si="2"/>
        <v>2.1125000000000003</v>
      </c>
      <c r="G14" s="12">
        <f t="shared" si="2"/>
        <v>2.1125000000000003</v>
      </c>
      <c r="H14" s="12">
        <f t="shared" si="2"/>
        <v>2.1125000000000003</v>
      </c>
      <c r="I14" s="12">
        <f t="shared" si="2"/>
        <v>2.1125000000000003</v>
      </c>
      <c r="J14" s="12">
        <f t="shared" si="2"/>
        <v>2.1125000000000003</v>
      </c>
      <c r="K14" s="12"/>
      <c r="L14" s="12"/>
      <c r="M14" s="12"/>
      <c r="N14" s="12"/>
      <c r="O14" s="12"/>
      <c r="P14" s="12"/>
      <c r="Q14" s="12"/>
      <c r="R14" s="12"/>
      <c r="T14" s="9"/>
      <c r="U14" s="11"/>
    </row>
    <row r="15" spans="1:21" s="2" customFormat="1" ht="12.75">
      <c r="A15" s="31"/>
      <c r="B15" s="1" t="s">
        <v>26</v>
      </c>
      <c r="D15" s="47">
        <f t="shared" si="2"/>
        <v>2.140625</v>
      </c>
      <c r="E15" s="12">
        <f t="shared" si="2"/>
        <v>2.140625</v>
      </c>
      <c r="F15" s="12">
        <f t="shared" si="2"/>
        <v>2.140625</v>
      </c>
      <c r="G15" s="12">
        <f t="shared" si="2"/>
        <v>2.140625</v>
      </c>
      <c r="H15" s="12">
        <f t="shared" si="2"/>
        <v>2.140625</v>
      </c>
      <c r="I15" s="12">
        <f t="shared" si="2"/>
        <v>2.140625</v>
      </c>
      <c r="J15" s="12">
        <f t="shared" si="2"/>
        <v>2.140625</v>
      </c>
      <c r="K15" s="12">
        <f t="shared" si="2"/>
        <v>2.140625</v>
      </c>
      <c r="L15" s="12">
        <f t="shared" si="2"/>
        <v>2.140625</v>
      </c>
      <c r="M15" s="12"/>
      <c r="N15" s="12"/>
      <c r="O15" s="12"/>
      <c r="P15" s="12"/>
      <c r="Q15" s="12"/>
      <c r="R15" s="12"/>
      <c r="T15" s="9"/>
      <c r="U15" s="11"/>
    </row>
    <row r="16" spans="1:21" s="2" customFormat="1" ht="12.75">
      <c r="A16" s="31"/>
      <c r="B16" s="1" t="s">
        <v>28</v>
      </c>
      <c r="D16" s="47">
        <f t="shared" si="2"/>
        <v>3.640125</v>
      </c>
      <c r="E16" s="12">
        <f t="shared" si="2"/>
        <v>3.640125</v>
      </c>
      <c r="F16" s="12">
        <f t="shared" si="2"/>
        <v>3.640125</v>
      </c>
      <c r="G16" s="12">
        <f t="shared" si="2"/>
        <v>3.640125</v>
      </c>
      <c r="H16" s="12">
        <f t="shared" si="2"/>
        <v>3.640125</v>
      </c>
      <c r="I16" s="12">
        <f t="shared" si="2"/>
        <v>3.640125</v>
      </c>
      <c r="J16" s="12">
        <f t="shared" si="2"/>
        <v>3.640125</v>
      </c>
      <c r="K16" s="12">
        <f t="shared" si="2"/>
        <v>3.640125</v>
      </c>
      <c r="L16" s="12">
        <f t="shared" si="2"/>
        <v>3.640125</v>
      </c>
      <c r="M16" s="12">
        <f t="shared" si="2"/>
        <v>3.640125</v>
      </c>
      <c r="N16" s="12"/>
      <c r="O16" s="12"/>
      <c r="P16" s="12"/>
      <c r="Q16" s="12"/>
      <c r="R16" s="12"/>
      <c r="T16" s="9"/>
      <c r="U16" s="11"/>
    </row>
    <row r="17" spans="1:21" s="2" customFormat="1" ht="12.75">
      <c r="A17" s="31"/>
      <c r="B17" s="1" t="s">
        <v>29</v>
      </c>
      <c r="D17" s="47">
        <f t="shared" si="2"/>
        <v>2.5185</v>
      </c>
      <c r="E17" s="12">
        <f t="shared" si="2"/>
        <v>2.5185</v>
      </c>
      <c r="F17" s="12">
        <f t="shared" si="2"/>
        <v>2.5185</v>
      </c>
      <c r="G17" s="12">
        <f t="shared" si="2"/>
        <v>2.5185</v>
      </c>
      <c r="H17" s="12">
        <f t="shared" si="2"/>
        <v>2.5185</v>
      </c>
      <c r="I17" s="12">
        <f t="shared" si="2"/>
        <v>2.5185</v>
      </c>
      <c r="J17" s="12">
        <f t="shared" si="2"/>
        <v>2.5185</v>
      </c>
      <c r="K17" s="12">
        <f t="shared" si="2"/>
        <v>2.5185</v>
      </c>
      <c r="L17" s="12">
        <f t="shared" si="2"/>
        <v>2.5185</v>
      </c>
      <c r="M17" s="12">
        <f t="shared" si="2"/>
        <v>2.5185</v>
      </c>
      <c r="N17" s="12">
        <f t="shared" si="2"/>
        <v>2.5185</v>
      </c>
      <c r="O17" s="12">
        <f t="shared" si="2"/>
        <v>2.5185</v>
      </c>
      <c r="P17" s="12">
        <f t="shared" si="2"/>
        <v>2.5185</v>
      </c>
      <c r="Q17" s="12">
        <v>1.5</v>
      </c>
      <c r="R17" s="12"/>
      <c r="T17" s="9"/>
      <c r="U17" s="11"/>
    </row>
    <row r="18" spans="1:21" s="2" customFormat="1" ht="12.75">
      <c r="A18" s="31"/>
      <c r="B18" s="1" t="s">
        <v>30</v>
      </c>
      <c r="D18" s="47">
        <f t="shared" si="2"/>
        <v>4.2</v>
      </c>
      <c r="E18" s="12">
        <f t="shared" si="2"/>
        <v>4.2</v>
      </c>
      <c r="F18" s="12">
        <f t="shared" si="2"/>
        <v>4.2</v>
      </c>
      <c r="G18" s="12">
        <f t="shared" si="2"/>
        <v>4.2</v>
      </c>
      <c r="H18" s="12">
        <f t="shared" si="2"/>
        <v>4.2</v>
      </c>
      <c r="I18" s="12">
        <f t="shared" si="2"/>
        <v>4.2</v>
      </c>
      <c r="J18" s="12">
        <f t="shared" si="2"/>
        <v>4.2</v>
      </c>
      <c r="K18" s="12">
        <f t="shared" si="2"/>
        <v>4.2</v>
      </c>
      <c r="L18" s="12">
        <f t="shared" si="2"/>
        <v>4.2</v>
      </c>
      <c r="M18" s="12">
        <f t="shared" si="2"/>
        <v>4.2</v>
      </c>
      <c r="N18" s="12">
        <f t="shared" si="2"/>
        <v>4.2</v>
      </c>
      <c r="O18" s="12">
        <f t="shared" si="2"/>
        <v>4.2</v>
      </c>
      <c r="P18" s="12">
        <f t="shared" si="2"/>
        <v>4.2</v>
      </c>
      <c r="Q18" s="12">
        <f>+P18*4</f>
        <v>16.8</v>
      </c>
      <c r="R18" s="12">
        <v>3</v>
      </c>
      <c r="T18" s="9"/>
      <c r="U18" s="11"/>
    </row>
    <row r="19" spans="1:21" s="2" customFormat="1" ht="12.75">
      <c r="A19" s="31"/>
      <c r="B19" s="1" t="s">
        <v>31</v>
      </c>
      <c r="D19" s="47">
        <f t="shared" si="2"/>
        <v>1.769625</v>
      </c>
      <c r="E19" s="12">
        <f t="shared" si="2"/>
        <v>1.769625</v>
      </c>
      <c r="F19" s="12">
        <f t="shared" si="2"/>
        <v>1.769625</v>
      </c>
      <c r="G19" s="12">
        <f t="shared" si="2"/>
        <v>1.769625</v>
      </c>
      <c r="H19" s="12">
        <f t="shared" si="2"/>
        <v>1.769625</v>
      </c>
      <c r="I19" s="12">
        <f t="shared" si="2"/>
        <v>1.769625</v>
      </c>
      <c r="J19" s="12">
        <f t="shared" si="2"/>
        <v>1.769625</v>
      </c>
      <c r="K19" s="12">
        <f t="shared" si="2"/>
        <v>1.769625</v>
      </c>
      <c r="L19" s="12">
        <f t="shared" si="2"/>
        <v>1.769625</v>
      </c>
      <c r="M19" s="12">
        <f t="shared" si="2"/>
        <v>1.769625</v>
      </c>
      <c r="N19" s="12">
        <f t="shared" si="2"/>
        <v>1.769625</v>
      </c>
      <c r="O19" s="12">
        <f t="shared" si="2"/>
        <v>1.769625</v>
      </c>
      <c r="P19" s="12">
        <f t="shared" si="2"/>
        <v>1.769625</v>
      </c>
      <c r="Q19" s="12">
        <f>+P19*4</f>
        <v>7.0785</v>
      </c>
      <c r="R19" s="12">
        <f>+Q19</f>
        <v>7.0785</v>
      </c>
      <c r="T19" s="9"/>
      <c r="U19" s="11"/>
    </row>
    <row r="20" spans="1:21" s="2" customFormat="1" ht="12.75">
      <c r="A20" s="31"/>
      <c r="B20" s="1" t="s">
        <v>32</v>
      </c>
      <c r="D20" s="47">
        <f t="shared" si="2"/>
        <v>5.8125</v>
      </c>
      <c r="E20" s="12">
        <f t="shared" si="2"/>
        <v>5.8125</v>
      </c>
      <c r="F20" s="12">
        <f t="shared" si="2"/>
        <v>5.8125</v>
      </c>
      <c r="G20" s="12">
        <f t="shared" si="2"/>
        <v>5.8125</v>
      </c>
      <c r="H20" s="12">
        <f t="shared" si="2"/>
        <v>5.8125</v>
      </c>
      <c r="I20" s="12">
        <f t="shared" si="2"/>
        <v>5.8125</v>
      </c>
      <c r="J20" s="12">
        <f t="shared" si="2"/>
        <v>5.8125</v>
      </c>
      <c r="K20" s="12">
        <f t="shared" si="2"/>
        <v>5.8125</v>
      </c>
      <c r="L20" s="12">
        <f t="shared" si="2"/>
        <v>5.8125</v>
      </c>
      <c r="M20" s="12">
        <f t="shared" si="2"/>
        <v>5.8125</v>
      </c>
      <c r="N20" s="12">
        <f t="shared" si="2"/>
        <v>5.8125</v>
      </c>
      <c r="O20" s="12">
        <f t="shared" si="2"/>
        <v>5.8125</v>
      </c>
      <c r="P20" s="12">
        <f t="shared" si="2"/>
        <v>5.8125</v>
      </c>
      <c r="Q20" s="12">
        <f>+P20*4</f>
        <v>23.25</v>
      </c>
      <c r="R20" s="12">
        <f>+Q20</f>
        <v>23.25</v>
      </c>
      <c r="T20" s="9"/>
      <c r="U20" s="11"/>
    </row>
    <row r="21" spans="1:21" s="2" customFormat="1" ht="12.75">
      <c r="A21" s="31"/>
      <c r="B21" s="1" t="s">
        <v>33</v>
      </c>
      <c r="D21" s="47">
        <f t="shared" si="2"/>
        <v>0.265625</v>
      </c>
      <c r="E21" s="12">
        <f t="shared" si="2"/>
        <v>0.265625</v>
      </c>
      <c r="F21" s="12">
        <f t="shared" si="2"/>
        <v>0.265625</v>
      </c>
      <c r="G21" s="12">
        <f t="shared" si="2"/>
        <v>0.265625</v>
      </c>
      <c r="H21" s="12">
        <f t="shared" si="2"/>
        <v>0.265625</v>
      </c>
      <c r="I21" s="12">
        <f t="shared" si="2"/>
        <v>0.265625</v>
      </c>
      <c r="J21" s="12">
        <f t="shared" si="2"/>
        <v>0.265625</v>
      </c>
      <c r="K21" s="12">
        <f t="shared" si="2"/>
        <v>0.265625</v>
      </c>
      <c r="L21" s="12">
        <f t="shared" si="2"/>
        <v>0.265625</v>
      </c>
      <c r="M21" s="12">
        <f t="shared" si="2"/>
        <v>0.265625</v>
      </c>
      <c r="N21" s="12">
        <f t="shared" si="2"/>
        <v>0.265625</v>
      </c>
      <c r="O21" s="12">
        <f t="shared" si="2"/>
        <v>0.265625</v>
      </c>
      <c r="P21" s="12">
        <f t="shared" si="2"/>
        <v>0.265625</v>
      </c>
      <c r="Q21" s="12">
        <f>+P21*4</f>
        <v>1.0625</v>
      </c>
      <c r="R21" s="12">
        <f>+Q21</f>
        <v>1.0625</v>
      </c>
      <c r="T21" s="9"/>
      <c r="U21" s="11"/>
    </row>
    <row r="22" spans="1:21" s="2" customFormat="1" ht="12.75">
      <c r="A22" s="31"/>
      <c r="B22" s="25" t="s">
        <v>39</v>
      </c>
      <c r="D22" s="4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T22" s="9"/>
      <c r="U22" s="11"/>
    </row>
    <row r="23" spans="1:21" s="2" customFormat="1" ht="12.75">
      <c r="A23" s="31"/>
      <c r="B23" s="2" t="s">
        <v>18</v>
      </c>
      <c r="D23" s="47">
        <v>20</v>
      </c>
      <c r="E23" s="12">
        <v>30</v>
      </c>
      <c r="F23" s="12">
        <f aca="true" t="shared" si="3" ref="F23:P23">+E23</f>
        <v>30</v>
      </c>
      <c r="G23" s="12">
        <f t="shared" si="3"/>
        <v>30</v>
      </c>
      <c r="H23" s="12">
        <f t="shared" si="3"/>
        <v>30</v>
      </c>
      <c r="I23" s="12">
        <f t="shared" si="3"/>
        <v>30</v>
      </c>
      <c r="J23" s="12">
        <f t="shared" si="3"/>
        <v>30</v>
      </c>
      <c r="K23" s="12">
        <f t="shared" si="3"/>
        <v>30</v>
      </c>
      <c r="L23" s="12">
        <f t="shared" si="3"/>
        <v>30</v>
      </c>
      <c r="M23" s="12">
        <f t="shared" si="3"/>
        <v>30</v>
      </c>
      <c r="N23" s="12">
        <f t="shared" si="3"/>
        <v>30</v>
      </c>
      <c r="O23" s="12">
        <f t="shared" si="3"/>
        <v>30</v>
      </c>
      <c r="P23" s="12">
        <f t="shared" si="3"/>
        <v>30</v>
      </c>
      <c r="Q23" s="12">
        <f>+P23*4</f>
        <v>120</v>
      </c>
      <c r="R23" s="12">
        <f>+Q23</f>
        <v>120</v>
      </c>
      <c r="T23" s="9"/>
      <c r="U23" s="11"/>
    </row>
    <row r="24" spans="1:21" s="2" customFormat="1" ht="12.75">
      <c r="A24" s="31"/>
      <c r="B24" s="2" t="s">
        <v>13</v>
      </c>
      <c r="D24" s="47"/>
      <c r="E24" s="12">
        <v>30</v>
      </c>
      <c r="F24" s="12">
        <f>+E24</f>
        <v>30</v>
      </c>
      <c r="G24" s="12">
        <f>+F24</f>
        <v>30</v>
      </c>
      <c r="H24" s="12">
        <f>+G24</f>
        <v>30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T24" s="9"/>
      <c r="U24" s="11"/>
    </row>
    <row r="25" spans="1:21" s="2" customFormat="1" ht="12.75">
      <c r="A25" s="31"/>
      <c r="D25" s="4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T25" s="9"/>
      <c r="U25" s="11"/>
    </row>
    <row r="26" spans="1:21" s="2" customFormat="1" ht="12.75">
      <c r="A26" s="31"/>
      <c r="B26" s="2" t="s">
        <v>71</v>
      </c>
      <c r="D26" s="47">
        <v>12.5</v>
      </c>
      <c r="E26" s="12">
        <v>12.5</v>
      </c>
      <c r="F26" s="12">
        <f>+E26</f>
        <v>12.5</v>
      </c>
      <c r="G26" s="12">
        <f aca="true" t="shared" si="4" ref="G26:P26">+F26</f>
        <v>12.5</v>
      </c>
      <c r="H26" s="12">
        <f t="shared" si="4"/>
        <v>12.5</v>
      </c>
      <c r="I26" s="12">
        <f t="shared" si="4"/>
        <v>12.5</v>
      </c>
      <c r="J26" s="12">
        <f t="shared" si="4"/>
        <v>12.5</v>
      </c>
      <c r="K26" s="12">
        <f t="shared" si="4"/>
        <v>12.5</v>
      </c>
      <c r="L26" s="12">
        <f t="shared" si="4"/>
        <v>12.5</v>
      </c>
      <c r="M26" s="12">
        <f t="shared" si="4"/>
        <v>12.5</v>
      </c>
      <c r="N26" s="12">
        <f t="shared" si="4"/>
        <v>12.5</v>
      </c>
      <c r="O26" s="12">
        <f t="shared" si="4"/>
        <v>12.5</v>
      </c>
      <c r="P26" s="12">
        <f t="shared" si="4"/>
        <v>12.5</v>
      </c>
      <c r="Q26" s="12">
        <f>+P26*4</f>
        <v>50</v>
      </c>
      <c r="R26" s="12">
        <f>+Q26</f>
        <v>50</v>
      </c>
      <c r="T26" s="9"/>
      <c r="U26" s="11"/>
    </row>
    <row r="27" spans="1:21" s="2" customFormat="1" ht="12.75">
      <c r="A27" s="31"/>
      <c r="D27" s="47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T27" s="9"/>
      <c r="U27" s="11"/>
    </row>
    <row r="28" spans="1:21" s="2" customFormat="1" ht="12.75">
      <c r="A28" s="31"/>
      <c r="B28" s="25" t="s">
        <v>19</v>
      </c>
      <c r="D28" s="47">
        <v>10</v>
      </c>
      <c r="E28" s="12">
        <f>+D28</f>
        <v>10</v>
      </c>
      <c r="F28" s="12">
        <v>8</v>
      </c>
      <c r="G28" s="12">
        <f aca="true" t="shared" si="5" ref="G28:P28">+F28</f>
        <v>8</v>
      </c>
      <c r="H28" s="12">
        <f t="shared" si="5"/>
        <v>8</v>
      </c>
      <c r="I28" s="12">
        <f t="shared" si="5"/>
        <v>8</v>
      </c>
      <c r="J28" s="12">
        <f t="shared" si="5"/>
        <v>8</v>
      </c>
      <c r="K28" s="12">
        <f t="shared" si="5"/>
        <v>8</v>
      </c>
      <c r="L28" s="12">
        <f t="shared" si="5"/>
        <v>8</v>
      </c>
      <c r="M28" s="12">
        <f t="shared" si="5"/>
        <v>8</v>
      </c>
      <c r="N28" s="12">
        <f t="shared" si="5"/>
        <v>8</v>
      </c>
      <c r="O28" s="12">
        <f t="shared" si="5"/>
        <v>8</v>
      </c>
      <c r="P28" s="12">
        <f t="shared" si="5"/>
        <v>8</v>
      </c>
      <c r="Q28" s="12">
        <f>+P28*4</f>
        <v>32</v>
      </c>
      <c r="R28" s="12">
        <f>+Q28</f>
        <v>32</v>
      </c>
      <c r="T28" s="9"/>
      <c r="U28" s="11"/>
    </row>
    <row r="29" spans="1:21" s="2" customFormat="1" ht="12.75">
      <c r="A29" s="31"/>
      <c r="D29" s="48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T29" s="9"/>
      <c r="U29" s="11"/>
    </row>
    <row r="30" spans="1:21" s="26" customFormat="1" ht="12.75">
      <c r="A30" s="32" t="s">
        <v>40</v>
      </c>
      <c r="B30" s="25" t="s">
        <v>21</v>
      </c>
      <c r="D30" s="46">
        <f>SUM(D9:D29)</f>
        <v>71.15950000000001</v>
      </c>
      <c r="E30" s="27">
        <f aca="true" t="shared" si="6" ref="E30:R30">SUM(E9:E29)</f>
        <v>109.9045</v>
      </c>
      <c r="F30" s="27">
        <f t="shared" si="6"/>
        <v>107.617</v>
      </c>
      <c r="G30" s="27">
        <f t="shared" si="6"/>
        <v>107.3295</v>
      </c>
      <c r="H30" s="27">
        <f t="shared" si="6"/>
        <v>107.042</v>
      </c>
      <c r="I30" s="27">
        <f t="shared" si="6"/>
        <v>76.75450000000001</v>
      </c>
      <c r="J30" s="27">
        <f t="shared" si="6"/>
        <v>75.8345</v>
      </c>
      <c r="K30" s="27">
        <f t="shared" si="6"/>
        <v>73.72200000000001</v>
      </c>
      <c r="L30" s="27">
        <f t="shared" si="6"/>
        <v>73.72200000000001</v>
      </c>
      <c r="M30" s="27">
        <f t="shared" si="6"/>
        <v>71.58137500000001</v>
      </c>
      <c r="N30" s="27">
        <f t="shared" si="6"/>
        <v>67.94125</v>
      </c>
      <c r="O30" s="27">
        <f t="shared" si="6"/>
        <v>67.94125</v>
      </c>
      <c r="P30" s="27">
        <f t="shared" si="6"/>
        <v>67.94125</v>
      </c>
      <c r="Q30" s="27">
        <f t="shared" si="6"/>
        <v>263.19100000000003</v>
      </c>
      <c r="R30" s="27">
        <f t="shared" si="6"/>
        <v>247.891</v>
      </c>
      <c r="T30" s="28"/>
      <c r="U30" s="29"/>
    </row>
    <row r="31" spans="1:21" s="26" customFormat="1" ht="12.75">
      <c r="A31" s="32"/>
      <c r="B31" s="25"/>
      <c r="D31" s="4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T31" s="28"/>
      <c r="U31" s="29"/>
    </row>
    <row r="32" spans="1:21" s="26" customFormat="1" ht="12.75">
      <c r="A32" s="32"/>
      <c r="B32" s="3" t="s">
        <v>35</v>
      </c>
      <c r="C32" s="3"/>
      <c r="D32" s="47">
        <v>52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T32" s="28"/>
      <c r="U32" s="29"/>
    </row>
    <row r="33" spans="1:21" s="2" customFormat="1" ht="12.75">
      <c r="A33" s="31"/>
      <c r="B33" s="3" t="s">
        <v>54</v>
      </c>
      <c r="C33" s="3"/>
      <c r="D33" s="48">
        <v>72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T33" s="9"/>
      <c r="U33" s="11"/>
    </row>
    <row r="34" spans="1:21" s="26" customFormat="1" ht="13.5" thickBot="1">
      <c r="A34" s="32" t="s">
        <v>41</v>
      </c>
      <c r="B34" s="25" t="s">
        <v>43</v>
      </c>
      <c r="C34" s="32" t="s">
        <v>44</v>
      </c>
      <c r="D34" s="49">
        <f>+D6-D30+D33+D32</f>
        <v>207.8405</v>
      </c>
      <c r="E34" s="33">
        <f aca="true" t="shared" si="7" ref="E34:R34">+E6-E30</f>
        <v>40.0955</v>
      </c>
      <c r="F34" s="33">
        <f t="shared" si="7"/>
        <v>42.382999999999996</v>
      </c>
      <c r="G34" s="33">
        <f t="shared" si="7"/>
        <v>42.670500000000004</v>
      </c>
      <c r="H34" s="33">
        <f t="shared" si="7"/>
        <v>42.958</v>
      </c>
      <c r="I34" s="33">
        <f t="shared" si="7"/>
        <v>73.24549999999999</v>
      </c>
      <c r="J34" s="33">
        <f t="shared" si="7"/>
        <v>74.1655</v>
      </c>
      <c r="K34" s="33">
        <f t="shared" si="7"/>
        <v>76.27799999999999</v>
      </c>
      <c r="L34" s="33">
        <f t="shared" si="7"/>
        <v>76.27799999999999</v>
      </c>
      <c r="M34" s="33">
        <f t="shared" si="7"/>
        <v>78.41862499999999</v>
      </c>
      <c r="N34" s="33">
        <f t="shared" si="7"/>
        <v>82.05875</v>
      </c>
      <c r="O34" s="33">
        <f t="shared" si="7"/>
        <v>82.05875</v>
      </c>
      <c r="P34" s="33">
        <f t="shared" si="7"/>
        <v>82.05875</v>
      </c>
      <c r="Q34" s="33">
        <f t="shared" si="7"/>
        <v>336.80899999999997</v>
      </c>
      <c r="R34" s="33">
        <f t="shared" si="7"/>
        <v>352.10900000000004</v>
      </c>
      <c r="T34" s="28"/>
      <c r="U34" s="29"/>
    </row>
    <row r="35" spans="1:21" s="2" customFormat="1" ht="13.5" thickTop="1">
      <c r="A35" s="31"/>
      <c r="B35" s="3"/>
      <c r="C35" s="3"/>
      <c r="D35" s="47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T35" s="39" t="s">
        <v>55</v>
      </c>
      <c r="U35" s="40" t="s">
        <v>49</v>
      </c>
    </row>
    <row r="36" spans="2:21" ht="12.75">
      <c r="B36" s="54" t="s">
        <v>22</v>
      </c>
      <c r="D36" s="50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T36" s="41" t="s">
        <v>22</v>
      </c>
      <c r="U36" s="42" t="s">
        <v>48</v>
      </c>
    </row>
    <row r="37" spans="1:21" ht="12.75">
      <c r="A37" s="6" t="s">
        <v>42</v>
      </c>
      <c r="B37" s="1" t="s">
        <v>70</v>
      </c>
      <c r="C37" s="1">
        <v>266</v>
      </c>
      <c r="D37" s="50">
        <v>86</v>
      </c>
      <c r="E37" s="14">
        <v>25</v>
      </c>
      <c r="F37" s="14">
        <v>25</v>
      </c>
      <c r="G37" s="14">
        <v>25</v>
      </c>
      <c r="H37" s="14">
        <v>25</v>
      </c>
      <c r="I37" s="14">
        <f>266-(+D37+E37+F37+G37+H37)</f>
        <v>80</v>
      </c>
      <c r="J37" s="14"/>
      <c r="K37" s="14"/>
      <c r="L37" s="14"/>
      <c r="M37" s="14"/>
      <c r="N37" s="14"/>
      <c r="O37" s="14"/>
      <c r="P37" s="14"/>
      <c r="Q37" s="14"/>
      <c r="R37" s="14"/>
      <c r="T37" s="10">
        <f>+C37-D37</f>
        <v>180</v>
      </c>
      <c r="U37" s="5">
        <f>+T37*0.046</f>
        <v>8.28</v>
      </c>
    </row>
    <row r="38" spans="1:20" ht="12.75">
      <c r="A38" s="6" t="s">
        <v>42</v>
      </c>
      <c r="B38" s="1" t="s">
        <v>25</v>
      </c>
      <c r="C38" s="1">
        <v>35</v>
      </c>
      <c r="D38" s="50">
        <v>35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T38" s="10">
        <f>+C38-D38</f>
        <v>0</v>
      </c>
    </row>
    <row r="39" spans="1:21" ht="12.75">
      <c r="A39" s="6" t="s">
        <v>42</v>
      </c>
      <c r="B39" s="1" t="s">
        <v>34</v>
      </c>
      <c r="C39" s="8">
        <f>+T39</f>
        <v>184</v>
      </c>
      <c r="D39" s="50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>
        <v>184</v>
      </c>
      <c r="T39" s="10">
        <f aca="true" t="shared" si="8" ref="T39:T48">SUM(D39:S39)</f>
        <v>184</v>
      </c>
      <c r="U39" s="5">
        <f>+T39*0.0625</f>
        <v>11.5</v>
      </c>
    </row>
    <row r="40" spans="1:18" ht="12.75">
      <c r="A40" s="6" t="s">
        <v>42</v>
      </c>
      <c r="B40" s="19" t="s">
        <v>14</v>
      </c>
      <c r="C40" s="1"/>
      <c r="D40" s="50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21" ht="12.75">
      <c r="A41" s="6" t="s">
        <v>42</v>
      </c>
      <c r="B41" s="7" t="s">
        <v>27</v>
      </c>
      <c r="C41" s="8">
        <v>130</v>
      </c>
      <c r="D41" s="50"/>
      <c r="E41" s="14"/>
      <c r="F41" s="14"/>
      <c r="G41" s="14"/>
      <c r="H41" s="14"/>
      <c r="I41" s="14"/>
      <c r="J41" s="14"/>
      <c r="K41" s="14">
        <v>130</v>
      </c>
      <c r="L41" s="14"/>
      <c r="M41" s="14"/>
      <c r="N41" s="14"/>
      <c r="O41" s="14"/>
      <c r="P41" s="14"/>
      <c r="Q41" s="14"/>
      <c r="R41" s="14"/>
      <c r="T41" s="10">
        <f t="shared" si="8"/>
        <v>130</v>
      </c>
      <c r="U41" s="5">
        <f>+T41*0.065</f>
        <v>8.450000000000001</v>
      </c>
    </row>
    <row r="42" spans="1:21" ht="12.75">
      <c r="A42" s="6" t="s">
        <v>42</v>
      </c>
      <c r="B42" s="1" t="s">
        <v>26</v>
      </c>
      <c r="C42" s="8">
        <v>125</v>
      </c>
      <c r="D42" s="50"/>
      <c r="E42" s="14"/>
      <c r="F42" s="14"/>
      <c r="G42" s="14"/>
      <c r="H42" s="14"/>
      <c r="I42" s="14"/>
      <c r="J42" s="14"/>
      <c r="K42" s="14"/>
      <c r="L42" s="14">
        <v>125</v>
      </c>
      <c r="M42" s="14"/>
      <c r="N42" s="14"/>
      <c r="O42" s="14"/>
      <c r="P42" s="14"/>
      <c r="Q42" s="14"/>
      <c r="R42" s="14"/>
      <c r="T42" s="10">
        <f t="shared" si="8"/>
        <v>125</v>
      </c>
      <c r="U42" s="5">
        <f>+T42*0.0685</f>
        <v>8.5625</v>
      </c>
    </row>
    <row r="43" spans="1:21" ht="12.75">
      <c r="A43" s="6" t="s">
        <v>42</v>
      </c>
      <c r="B43" s="1" t="s">
        <v>28</v>
      </c>
      <c r="C43" s="8">
        <v>255</v>
      </c>
      <c r="D43" s="50"/>
      <c r="E43" s="14"/>
      <c r="F43" s="14"/>
      <c r="G43" s="14"/>
      <c r="H43" s="14"/>
      <c r="I43" s="14"/>
      <c r="J43" s="14"/>
      <c r="K43" s="14"/>
      <c r="L43" s="14"/>
      <c r="M43" s="14"/>
      <c r="N43" s="14">
        <v>255</v>
      </c>
      <c r="O43" s="14"/>
      <c r="P43" s="14"/>
      <c r="Q43" s="14"/>
      <c r="R43" s="14"/>
      <c r="T43" s="10">
        <f t="shared" si="8"/>
        <v>255</v>
      </c>
      <c r="U43" s="5">
        <f>+T43*0.0571</f>
        <v>14.5605</v>
      </c>
    </row>
    <row r="44" spans="1:21" ht="12.75">
      <c r="A44" s="6" t="s">
        <v>42</v>
      </c>
      <c r="B44" s="1" t="s">
        <v>29</v>
      </c>
      <c r="C44" s="8">
        <v>138</v>
      </c>
      <c r="D44" s="50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>
        <v>138</v>
      </c>
      <c r="R44" s="14"/>
      <c r="T44" s="10">
        <f t="shared" si="8"/>
        <v>138</v>
      </c>
      <c r="U44" s="5">
        <f>+T44*0.073</f>
        <v>10.074</v>
      </c>
    </row>
    <row r="45" spans="1:21" ht="12.75">
      <c r="A45" s="6" t="s">
        <v>42</v>
      </c>
      <c r="B45" s="1" t="s">
        <v>30</v>
      </c>
      <c r="C45" s="8">
        <v>320</v>
      </c>
      <c r="D45" s="50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>
        <v>320</v>
      </c>
      <c r="T45" s="10">
        <f t="shared" si="8"/>
        <v>320</v>
      </c>
      <c r="U45" s="5">
        <f>+T45*0.0525</f>
        <v>16.8</v>
      </c>
    </row>
    <row r="46" spans="1:21" ht="12.75">
      <c r="A46" s="6" t="s">
        <v>42</v>
      </c>
      <c r="B46" s="1" t="s">
        <v>31</v>
      </c>
      <c r="C46" s="8">
        <v>121</v>
      </c>
      <c r="D46" s="50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>
        <v>121</v>
      </c>
      <c r="T46" s="10">
        <f t="shared" si="8"/>
        <v>121</v>
      </c>
      <c r="U46" s="5">
        <f>+T46*0.0585</f>
        <v>7.0785</v>
      </c>
    </row>
    <row r="47" spans="1:21" ht="12.75">
      <c r="A47" s="6" t="s">
        <v>42</v>
      </c>
      <c r="B47" s="1" t="s">
        <v>32</v>
      </c>
      <c r="C47" s="8">
        <v>300</v>
      </c>
      <c r="D47" s="50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>
        <v>300</v>
      </c>
      <c r="T47" s="10">
        <f t="shared" si="8"/>
        <v>300</v>
      </c>
      <c r="U47" s="5">
        <f>+T47*0.0775</f>
        <v>23.25</v>
      </c>
    </row>
    <row r="48" spans="1:21" ht="12.75">
      <c r="A48" s="6" t="s">
        <v>42</v>
      </c>
      <c r="B48" s="1" t="s">
        <v>33</v>
      </c>
      <c r="C48" s="8">
        <v>17</v>
      </c>
      <c r="D48" s="50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>
        <v>17</v>
      </c>
      <c r="T48" s="10">
        <f t="shared" si="8"/>
        <v>17</v>
      </c>
      <c r="U48" s="5">
        <f>+T48*0.0625</f>
        <v>1.0625</v>
      </c>
    </row>
    <row r="49" spans="2:18" ht="13.5" thickBot="1">
      <c r="B49" s="19" t="s">
        <v>69</v>
      </c>
      <c r="C49" s="70">
        <f>SUM(C37:C48)</f>
        <v>1891</v>
      </c>
      <c r="D49" s="50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16" customFormat="1" ht="14.25" thickBot="1" thickTop="1">
      <c r="A50" s="17" t="s">
        <v>45</v>
      </c>
      <c r="B50" s="16" t="s">
        <v>53</v>
      </c>
      <c r="C50" s="17" t="s">
        <v>51</v>
      </c>
      <c r="D50" s="51">
        <f aca="true" t="shared" si="9" ref="D50:R50">-SUM(D35:D49)+D34</f>
        <v>86.84049999999999</v>
      </c>
      <c r="E50" s="34">
        <f t="shared" si="9"/>
        <v>15.095500000000001</v>
      </c>
      <c r="F50" s="34">
        <f t="shared" si="9"/>
        <v>17.382999999999996</v>
      </c>
      <c r="G50" s="34">
        <f t="shared" si="9"/>
        <v>17.670500000000004</v>
      </c>
      <c r="H50" s="34">
        <f t="shared" si="9"/>
        <v>17.958</v>
      </c>
      <c r="I50" s="34">
        <f t="shared" si="9"/>
        <v>-6.754500000000007</v>
      </c>
      <c r="J50" s="34">
        <f t="shared" si="9"/>
        <v>74.1655</v>
      </c>
      <c r="K50" s="34">
        <f t="shared" si="9"/>
        <v>-53.72200000000001</v>
      </c>
      <c r="L50" s="34">
        <f t="shared" si="9"/>
        <v>-48.72200000000001</v>
      </c>
      <c r="M50" s="34">
        <f t="shared" si="9"/>
        <v>78.41862499999999</v>
      </c>
      <c r="N50" s="34">
        <f t="shared" si="9"/>
        <v>-172.94125</v>
      </c>
      <c r="O50" s="34">
        <f t="shared" si="9"/>
        <v>82.05875</v>
      </c>
      <c r="P50" s="34">
        <f t="shared" si="9"/>
        <v>82.05875</v>
      </c>
      <c r="Q50" s="34">
        <f t="shared" si="9"/>
        <v>198.80899999999997</v>
      </c>
      <c r="R50" s="34">
        <f t="shared" si="9"/>
        <v>32.10900000000004</v>
      </c>
      <c r="S50" s="35"/>
      <c r="T50" s="57">
        <f>SUM(T35:T49)</f>
        <v>1770</v>
      </c>
      <c r="U50" s="57">
        <f>SUM(U35:U49)</f>
        <v>109.61800000000001</v>
      </c>
    </row>
    <row r="51" spans="4:19" ht="14.25" thickBot="1" thickTop="1">
      <c r="D51" s="5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4"/>
    </row>
    <row r="52" spans="1:21" s="16" customFormat="1" ht="13.5" thickBot="1">
      <c r="A52" s="17" t="s">
        <v>52</v>
      </c>
      <c r="B52" s="16" t="s">
        <v>23</v>
      </c>
      <c r="D52" s="52">
        <f>+D50</f>
        <v>86.84049999999999</v>
      </c>
      <c r="E52" s="36">
        <f>+D52+E50</f>
        <v>101.93599999999999</v>
      </c>
      <c r="F52" s="36">
        <f aca="true" t="shared" si="10" ref="F52:R52">+E52+F50</f>
        <v>119.31899999999999</v>
      </c>
      <c r="G52" s="36">
        <f t="shared" si="10"/>
        <v>136.9895</v>
      </c>
      <c r="H52" s="36">
        <f t="shared" si="10"/>
        <v>154.9475</v>
      </c>
      <c r="I52" s="36">
        <f t="shared" si="10"/>
        <v>148.19299999999998</v>
      </c>
      <c r="J52" s="36">
        <f t="shared" si="10"/>
        <v>222.3585</v>
      </c>
      <c r="K52" s="36">
        <f t="shared" si="10"/>
        <v>168.63649999999998</v>
      </c>
      <c r="L52" s="15">
        <f t="shared" si="10"/>
        <v>119.91449999999998</v>
      </c>
      <c r="M52" s="36">
        <f t="shared" si="10"/>
        <v>198.33312499999997</v>
      </c>
      <c r="N52" s="15">
        <f t="shared" si="10"/>
        <v>25.39187499999997</v>
      </c>
      <c r="O52" s="36">
        <f t="shared" si="10"/>
        <v>107.45062499999997</v>
      </c>
      <c r="P52" s="36">
        <f t="shared" si="10"/>
        <v>189.50937499999998</v>
      </c>
      <c r="Q52" s="36">
        <f t="shared" si="10"/>
        <v>388.31837499999995</v>
      </c>
      <c r="R52" s="36">
        <f t="shared" si="10"/>
        <v>420.427375</v>
      </c>
      <c r="S52" s="35"/>
      <c r="T52" s="37"/>
      <c r="U52" s="18"/>
    </row>
    <row r="53" ht="13.5" thickBot="1">
      <c r="B53" s="55" t="s">
        <v>50</v>
      </c>
    </row>
    <row r="54" spans="15:20" ht="18.75" thickBot="1">
      <c r="O54" s="19" t="s">
        <v>68</v>
      </c>
      <c r="P54" s="1" t="s">
        <v>58</v>
      </c>
      <c r="Q54" t="s">
        <v>57</v>
      </c>
      <c r="R54" s="14">
        <f>(+$E$6+$F$6)*2</f>
        <v>600</v>
      </c>
      <c r="S54" s="17" t="s">
        <v>67</v>
      </c>
      <c r="T54" s="71">
        <f>+T50/+(R54)</f>
        <v>2.95</v>
      </c>
    </row>
    <row r="55" spans="15:20" ht="12.75">
      <c r="O55" s="1"/>
      <c r="P55" s="1"/>
      <c r="T55" s="56"/>
    </row>
    <row r="56" spans="20:21" ht="13.5" thickBot="1">
      <c r="T56" s="1" t="s">
        <v>62</v>
      </c>
      <c r="U56" s="58">
        <f>+U50*0.5</f>
        <v>54.809000000000005</v>
      </c>
    </row>
    <row r="57" spans="15:21" ht="18.75" thickBot="1">
      <c r="O57" s="19" t="s">
        <v>59</v>
      </c>
      <c r="P57" s="1" t="s">
        <v>58</v>
      </c>
      <c r="Q57" t="s">
        <v>57</v>
      </c>
      <c r="R57" s="14">
        <f>(+$E$6+$F$6)</f>
        <v>300</v>
      </c>
      <c r="T57" s="24" t="s">
        <v>60</v>
      </c>
      <c r="U57" s="69">
        <f>+R57/U56</f>
        <v>5.473553613457644</v>
      </c>
    </row>
    <row r="60" spans="4:5" ht="12.75">
      <c r="D60" s="60" t="s">
        <v>66</v>
      </c>
      <c r="E60" s="61"/>
    </row>
    <row r="61" spans="4:5" ht="12.75">
      <c r="D61" s="62" t="s">
        <v>24</v>
      </c>
      <c r="E61" s="63" t="s">
        <v>19</v>
      </c>
    </row>
    <row r="62" spans="4:6" ht="12.75">
      <c r="D62" s="6">
        <v>1</v>
      </c>
      <c r="E62" s="5">
        <f>10*25*0.0425</f>
        <v>10.625</v>
      </c>
      <c r="F62" t="s">
        <v>61</v>
      </c>
    </row>
    <row r="63" spans="4:5" ht="12.75">
      <c r="D63" s="6">
        <v>2</v>
      </c>
      <c r="E63" s="5">
        <f>6*1.25</f>
        <v>7.5</v>
      </c>
    </row>
    <row r="64" spans="4:5" ht="12.75">
      <c r="D64" s="6">
        <v>3</v>
      </c>
      <c r="E64" s="5">
        <f>203*0.0675</f>
        <v>13.7025</v>
      </c>
    </row>
    <row r="65" spans="4:5" ht="12.75">
      <c r="D65" s="6">
        <v>5</v>
      </c>
      <c r="E65" s="5">
        <f>123*0.069</f>
        <v>8.487</v>
      </c>
    </row>
    <row r="66" spans="4:5" ht="12.75">
      <c r="D66" s="6">
        <v>7</v>
      </c>
      <c r="E66" s="5">
        <f>3*0.05</f>
        <v>0.15000000000000002</v>
      </c>
    </row>
    <row r="68" spans="4:5" ht="13.5" thickBot="1">
      <c r="D68" s="16" t="s">
        <v>37</v>
      </c>
      <c r="E68" s="59">
        <f>SUM(E62:E67)</f>
        <v>40.4645</v>
      </c>
    </row>
    <row r="69" ht="13.5" thickTop="1"/>
  </sheetData>
  <sheetProtection/>
  <printOptions/>
  <pageMargins left="0.75" right="0.75" top="1" bottom="1" header="0.5" footer="0.5"/>
  <pageSetup orientation="portrait" paperSize="9"/>
  <ignoredErrors>
    <ignoredError sqref="T41:T48" formulaRange="1"/>
    <ignoredError sqref="Q23:Q2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9"/>
  <sheetViews>
    <sheetView zoomScalePageLayoutView="0" workbookViewId="0" topLeftCell="A28">
      <selection activeCell="J10" sqref="J10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</cols>
  <sheetData>
    <row r="1" spans="2:12" ht="32.25" thickBot="1">
      <c r="B1" s="113" t="s">
        <v>165</v>
      </c>
      <c r="G1" s="98"/>
      <c r="H1" s="65"/>
      <c r="I1" s="64"/>
      <c r="J1" s="65" t="s">
        <v>108</v>
      </c>
      <c r="K1" s="64"/>
      <c r="L1" s="64"/>
    </row>
    <row r="2" spans="1:13" s="98" customFormat="1" ht="36" customHeight="1" thickBot="1">
      <c r="A2" s="31"/>
      <c r="B2" s="97"/>
      <c r="G2" s="269"/>
      <c r="H2" s="270"/>
      <c r="I2" s="271"/>
      <c r="J2" s="272" t="s">
        <v>164</v>
      </c>
      <c r="K2" s="271"/>
      <c r="L2" s="271"/>
      <c r="M2" s="273"/>
    </row>
    <row r="3" spans="2:6" ht="20.25">
      <c r="B3" s="114" t="s">
        <v>110</v>
      </c>
      <c r="C3" s="95"/>
      <c r="D3" s="185"/>
      <c r="E3" s="104"/>
      <c r="F3" s="96"/>
    </row>
    <row r="4" spans="1:22" s="19" customFormat="1" ht="16.5" thickBot="1">
      <c r="A4" s="17"/>
      <c r="C4" s="144"/>
      <c r="D4" s="175" t="s">
        <v>20</v>
      </c>
      <c r="E4" s="160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74">
        <v>2015</v>
      </c>
      <c r="R4" s="279">
        <v>2016</v>
      </c>
      <c r="S4" s="274">
        <v>2017</v>
      </c>
      <c r="T4" s="279">
        <v>2018</v>
      </c>
      <c r="U4" s="274">
        <v>2019</v>
      </c>
      <c r="V4" s="279">
        <v>2020</v>
      </c>
    </row>
    <row r="5" spans="2:22" s="129" customFormat="1" ht="17.25" thickBot="1">
      <c r="B5" s="136" t="s">
        <v>105</v>
      </c>
      <c r="C5" s="137"/>
      <c r="D5" s="137"/>
      <c r="E5" s="138"/>
      <c r="F5" s="138"/>
      <c r="G5" s="138"/>
      <c r="H5" s="139"/>
      <c r="I5" s="179"/>
      <c r="J5" s="138">
        <v>0.025</v>
      </c>
      <c r="K5" s="138">
        <f aca="true" t="shared" si="0" ref="K5:O6">+J5</f>
        <v>0.025</v>
      </c>
      <c r="L5" s="139">
        <f t="shared" si="0"/>
        <v>0.025</v>
      </c>
      <c r="M5" s="181">
        <f t="shared" si="0"/>
        <v>0.025</v>
      </c>
      <c r="N5" s="138">
        <f t="shared" si="0"/>
        <v>0.025</v>
      </c>
      <c r="O5" s="138">
        <f t="shared" si="0"/>
        <v>0.025</v>
      </c>
      <c r="P5" s="139">
        <f>+O5</f>
        <v>0.025</v>
      </c>
      <c r="Q5" s="179">
        <v>0.15</v>
      </c>
      <c r="R5" s="179">
        <v>0.15</v>
      </c>
      <c r="S5" s="139">
        <v>0.15</v>
      </c>
      <c r="T5" s="139">
        <v>0.15</v>
      </c>
      <c r="U5" s="139">
        <v>0.15</v>
      </c>
      <c r="V5" s="139">
        <v>0.15</v>
      </c>
    </row>
    <row r="6" spans="2:22" s="129" customFormat="1" ht="17.25" thickBot="1">
      <c r="B6" s="130" t="s">
        <v>106</v>
      </c>
      <c r="C6" s="131"/>
      <c r="D6" s="131"/>
      <c r="E6" s="138"/>
      <c r="F6" s="132"/>
      <c r="G6" s="132"/>
      <c r="H6" s="133"/>
      <c r="I6" s="180"/>
      <c r="J6" s="132">
        <v>-0.05</v>
      </c>
      <c r="K6" s="132">
        <f t="shared" si="0"/>
        <v>-0.05</v>
      </c>
      <c r="L6" s="133">
        <f t="shared" si="0"/>
        <v>-0.05</v>
      </c>
      <c r="M6" s="182">
        <f t="shared" si="0"/>
        <v>-0.05</v>
      </c>
      <c r="N6" s="132">
        <f t="shared" si="0"/>
        <v>-0.05</v>
      </c>
      <c r="O6" s="132">
        <f t="shared" si="0"/>
        <v>-0.05</v>
      </c>
      <c r="P6" s="133">
        <f>+O6</f>
        <v>-0.05</v>
      </c>
      <c r="Q6" s="180">
        <v>-0.15</v>
      </c>
      <c r="R6" s="180">
        <v>-0.15</v>
      </c>
      <c r="S6" s="133">
        <v>-0.1</v>
      </c>
      <c r="T6" s="133">
        <v>-0.05</v>
      </c>
      <c r="U6" s="133">
        <v>0</v>
      </c>
      <c r="V6" s="133">
        <v>0</v>
      </c>
    </row>
    <row r="7" spans="2:9" ht="20.25">
      <c r="B7" s="94"/>
      <c r="C7" s="95"/>
      <c r="D7" s="95"/>
      <c r="E7" s="104"/>
      <c r="F7" s="238"/>
      <c r="G7" s="287"/>
      <c r="H7" s="340"/>
      <c r="I7" s="353"/>
    </row>
    <row r="8" spans="1:9" s="16" customFormat="1" ht="15.75">
      <c r="A8" s="17"/>
      <c r="D8" s="155"/>
      <c r="E8" s="189"/>
      <c r="F8" s="189"/>
      <c r="G8" s="189"/>
      <c r="H8" s="341"/>
      <c r="I8" s="289" t="s">
        <v>56</v>
      </c>
    </row>
    <row r="9" spans="1:22" s="19" customFormat="1" ht="12.75">
      <c r="A9" s="17"/>
      <c r="C9" s="144" t="s">
        <v>36</v>
      </c>
      <c r="D9" s="175" t="s">
        <v>20</v>
      </c>
      <c r="E9" s="239" t="s">
        <v>1</v>
      </c>
      <c r="F9" s="239" t="s">
        <v>2</v>
      </c>
      <c r="G9" s="239" t="s">
        <v>3</v>
      </c>
      <c r="H9" s="332" t="s">
        <v>4</v>
      </c>
      <c r="I9" s="349" t="s">
        <v>5</v>
      </c>
      <c r="J9" s="21" t="s">
        <v>6</v>
      </c>
      <c r="K9" s="21" t="s">
        <v>7</v>
      </c>
      <c r="L9" s="21" t="s">
        <v>8</v>
      </c>
      <c r="M9" s="22" t="s">
        <v>9</v>
      </c>
      <c r="N9" s="22" t="s">
        <v>10</v>
      </c>
      <c r="O9" s="22" t="s">
        <v>11</v>
      </c>
      <c r="P9" s="22" t="s">
        <v>12</v>
      </c>
      <c r="Q9" s="331">
        <v>2015</v>
      </c>
      <c r="R9" s="115">
        <v>2016</v>
      </c>
      <c r="S9" s="331">
        <v>2017</v>
      </c>
      <c r="T9" s="115">
        <v>2018</v>
      </c>
      <c r="U9" s="331">
        <v>2019</v>
      </c>
      <c r="V9" s="115">
        <v>2020</v>
      </c>
    </row>
    <row r="10" spans="1:9" s="2" customFormat="1" ht="12.75">
      <c r="A10" s="31"/>
      <c r="B10" s="53" t="s">
        <v>57</v>
      </c>
      <c r="C10" s="145"/>
      <c r="D10" s="149"/>
      <c r="E10" s="149"/>
      <c r="F10" s="149"/>
      <c r="G10" s="149"/>
      <c r="H10" s="342"/>
      <c r="I10" s="290"/>
    </row>
    <row r="11" spans="1:9" s="2" customFormat="1" ht="12.75">
      <c r="A11" s="31"/>
      <c r="B11" s="103"/>
      <c r="C11" s="145"/>
      <c r="D11" s="149"/>
      <c r="E11" s="149"/>
      <c r="F11" s="149"/>
      <c r="G11" s="149"/>
      <c r="H11" s="342"/>
      <c r="I11" s="290"/>
    </row>
    <row r="12" spans="1:22" s="2" customFormat="1" ht="12.75">
      <c r="A12" s="31"/>
      <c r="B12" s="72" t="s">
        <v>73</v>
      </c>
      <c r="C12" s="145"/>
      <c r="D12" s="157">
        <v>90</v>
      </c>
      <c r="E12" s="157">
        <v>85.9</v>
      </c>
      <c r="F12" s="157">
        <v>89.7</v>
      </c>
      <c r="G12" s="157">
        <v>92</v>
      </c>
      <c r="H12" s="343">
        <v>99.7</v>
      </c>
      <c r="I12" s="291">
        <v>98.9</v>
      </c>
      <c r="J12" s="12">
        <f aca="true" t="shared" si="1" ref="J12:P12">+I12*(1+J13)</f>
        <v>101.3725</v>
      </c>
      <c r="K12" s="12">
        <f t="shared" si="1"/>
        <v>103.90681249999999</v>
      </c>
      <c r="L12" s="12">
        <f t="shared" si="1"/>
        <v>106.50448281249997</v>
      </c>
      <c r="M12" s="12">
        <f t="shared" si="1"/>
        <v>109.16709488281246</v>
      </c>
      <c r="N12" s="12">
        <f t="shared" si="1"/>
        <v>111.89627225488276</v>
      </c>
      <c r="O12" s="12">
        <f t="shared" si="1"/>
        <v>114.69367906125481</v>
      </c>
      <c r="P12" s="12">
        <f t="shared" si="1"/>
        <v>117.56102103778618</v>
      </c>
      <c r="Q12" s="12">
        <f>+P12*4</f>
        <v>470.2440841511447</v>
      </c>
      <c r="R12" s="12">
        <f>+Q12*(1+R13)</f>
        <v>540.7806967738163</v>
      </c>
      <c r="S12" s="12">
        <f>+R12*(1+S13)</f>
        <v>621.8978012898887</v>
      </c>
      <c r="T12" s="12">
        <f>+S12*(1+T13)</f>
        <v>715.182471483372</v>
      </c>
      <c r="U12" s="12">
        <f>+T12*(1+U13)</f>
        <v>822.4598422058776</v>
      </c>
      <c r="V12" s="12">
        <f>+U12*(1+V13)</f>
        <v>945.8288185367592</v>
      </c>
    </row>
    <row r="13" spans="1:22" s="2" customFormat="1" ht="12.75">
      <c r="A13" s="31"/>
      <c r="B13" s="73" t="s">
        <v>76</v>
      </c>
      <c r="C13" s="146"/>
      <c r="D13" s="146"/>
      <c r="E13" s="191">
        <f>(+E12-D12)/D12</f>
        <v>-0.045555555555555495</v>
      </c>
      <c r="F13" s="191">
        <f>(+F12-E12)/E12</f>
        <v>0.04423748544819554</v>
      </c>
      <c r="G13" s="191">
        <f>(+G12-F12)/F12</f>
        <v>0.02564102564102561</v>
      </c>
      <c r="H13" s="345">
        <f>(+H12-G12)/G12</f>
        <v>0.08369565217391307</v>
      </c>
      <c r="I13" s="294">
        <f>(+I12-H12)/H12</f>
        <v>-0.00802407221664992</v>
      </c>
      <c r="J13" s="77">
        <f aca="true" t="shared" si="2" ref="J13:R13">+J5</f>
        <v>0.025</v>
      </c>
      <c r="K13" s="77">
        <f t="shared" si="2"/>
        <v>0.025</v>
      </c>
      <c r="L13" s="77">
        <f t="shared" si="2"/>
        <v>0.025</v>
      </c>
      <c r="M13" s="77">
        <f t="shared" si="2"/>
        <v>0.025</v>
      </c>
      <c r="N13" s="77">
        <f t="shared" si="2"/>
        <v>0.025</v>
      </c>
      <c r="O13" s="77">
        <f t="shared" si="2"/>
        <v>0.025</v>
      </c>
      <c r="P13" s="77">
        <f t="shared" si="2"/>
        <v>0.025</v>
      </c>
      <c r="Q13" s="77">
        <f t="shared" si="2"/>
        <v>0.15</v>
      </c>
      <c r="R13" s="77">
        <f t="shared" si="2"/>
        <v>0.15</v>
      </c>
      <c r="S13" s="77">
        <f>+S5</f>
        <v>0.15</v>
      </c>
      <c r="T13" s="77">
        <f>+T5</f>
        <v>0.15</v>
      </c>
      <c r="U13" s="77">
        <f>+U5</f>
        <v>0.15</v>
      </c>
      <c r="V13" s="77">
        <f>+V5</f>
        <v>0.15</v>
      </c>
    </row>
    <row r="14" spans="1:22" s="111" customFormat="1" ht="12.75">
      <c r="A14" s="109"/>
      <c r="B14" s="110" t="s">
        <v>122</v>
      </c>
      <c r="C14" s="107"/>
      <c r="D14" s="107">
        <v>0.394</v>
      </c>
      <c r="E14" s="107">
        <v>0.4</v>
      </c>
      <c r="F14" s="107">
        <f aca="true" t="shared" si="3" ref="F14:R14">+E14</f>
        <v>0.4</v>
      </c>
      <c r="G14" s="107">
        <v>0.43</v>
      </c>
      <c r="H14" s="344">
        <v>0.495</v>
      </c>
      <c r="I14" s="293">
        <v>0.43</v>
      </c>
      <c r="J14" s="111">
        <f t="shared" si="3"/>
        <v>0.43</v>
      </c>
      <c r="K14" s="111">
        <f t="shared" si="3"/>
        <v>0.43</v>
      </c>
      <c r="L14" s="111">
        <f t="shared" si="3"/>
        <v>0.43</v>
      </c>
      <c r="M14" s="111">
        <f t="shared" si="3"/>
        <v>0.43</v>
      </c>
      <c r="N14" s="111">
        <f t="shared" si="3"/>
        <v>0.43</v>
      </c>
      <c r="O14" s="111">
        <f t="shared" si="3"/>
        <v>0.43</v>
      </c>
      <c r="P14" s="111">
        <f t="shared" si="3"/>
        <v>0.43</v>
      </c>
      <c r="Q14" s="111">
        <f t="shared" si="3"/>
        <v>0.43</v>
      </c>
      <c r="R14" s="111">
        <f t="shared" si="3"/>
        <v>0.43</v>
      </c>
      <c r="S14" s="111">
        <f>+R14</f>
        <v>0.43</v>
      </c>
      <c r="T14" s="111">
        <f>+S14</f>
        <v>0.43</v>
      </c>
      <c r="U14" s="111">
        <f>+T14</f>
        <v>0.43</v>
      </c>
      <c r="V14" s="111">
        <f>+U14</f>
        <v>0.43</v>
      </c>
    </row>
    <row r="15" spans="1:22" s="2" customFormat="1" ht="12.75">
      <c r="A15" s="31"/>
      <c r="B15" s="26" t="s">
        <v>75</v>
      </c>
      <c r="C15" s="145"/>
      <c r="D15" s="80">
        <f>+D12*D14</f>
        <v>35.46</v>
      </c>
      <c r="E15" s="80">
        <f>+E12*E14</f>
        <v>34.36000000000001</v>
      </c>
      <c r="F15" s="80">
        <f aca="true" t="shared" si="4" ref="F15:R15">+F12*F14</f>
        <v>35.88</v>
      </c>
      <c r="G15" s="80">
        <f t="shared" si="4"/>
        <v>39.56</v>
      </c>
      <c r="H15" s="333">
        <f t="shared" si="4"/>
        <v>49.3515</v>
      </c>
      <c r="I15" s="205">
        <f t="shared" si="4"/>
        <v>42.527</v>
      </c>
      <c r="J15" s="80">
        <f t="shared" si="4"/>
        <v>43.590175</v>
      </c>
      <c r="K15" s="80">
        <f t="shared" si="4"/>
        <v>44.67992937499999</v>
      </c>
      <c r="L15" s="80">
        <f t="shared" si="4"/>
        <v>45.79692760937499</v>
      </c>
      <c r="M15" s="80">
        <f t="shared" si="4"/>
        <v>46.941850799609355</v>
      </c>
      <c r="N15" s="80">
        <f t="shared" si="4"/>
        <v>48.11539706959959</v>
      </c>
      <c r="O15" s="80">
        <f t="shared" si="4"/>
        <v>49.31828199633957</v>
      </c>
      <c r="P15" s="80">
        <f t="shared" si="4"/>
        <v>50.55123904624806</v>
      </c>
      <c r="Q15" s="80">
        <f t="shared" si="4"/>
        <v>202.20495618499223</v>
      </c>
      <c r="R15" s="80">
        <f t="shared" si="4"/>
        <v>232.535699612741</v>
      </c>
      <c r="S15" s="80">
        <f>+S12*S14</f>
        <v>267.41605455465213</v>
      </c>
      <c r="T15" s="80">
        <f>+T12*T14</f>
        <v>307.52846273784996</v>
      </c>
      <c r="U15" s="80">
        <f>+U12*U14</f>
        <v>353.6577321485274</v>
      </c>
      <c r="V15" s="80">
        <f>+V12*V14</f>
        <v>406.70639197080646</v>
      </c>
    </row>
    <row r="16" spans="1:22" s="2" customFormat="1" ht="12.75">
      <c r="A16" s="31"/>
      <c r="B16" s="72"/>
      <c r="C16" s="145"/>
      <c r="D16" s="157"/>
      <c r="E16" s="157"/>
      <c r="F16" s="157"/>
      <c r="G16" s="157"/>
      <c r="H16" s="343"/>
      <c r="I16" s="29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2" customFormat="1" ht="12.75">
      <c r="A17" s="31"/>
      <c r="B17" s="72" t="s">
        <v>74</v>
      </c>
      <c r="C17" s="145"/>
      <c r="D17" s="157">
        <v>223.3</v>
      </c>
      <c r="E17" s="157">
        <f>+E22-E12</f>
        <v>203.20000000000002</v>
      </c>
      <c r="F17" s="157">
        <f>+F22-F12</f>
        <v>196.8</v>
      </c>
      <c r="G17" s="157">
        <f>+G22-G12</f>
        <v>175.7</v>
      </c>
      <c r="H17" s="343">
        <f>+H22-H12</f>
        <v>164.7</v>
      </c>
      <c r="I17" s="291">
        <v>154.4</v>
      </c>
      <c r="J17" s="12">
        <f aca="true" t="shared" si="5" ref="J17:R17">+I17*(1+J18)</f>
        <v>146.68</v>
      </c>
      <c r="K17" s="12">
        <f t="shared" si="5"/>
        <v>139.346</v>
      </c>
      <c r="L17" s="12">
        <f t="shared" si="5"/>
        <v>132.3787</v>
      </c>
      <c r="M17" s="12">
        <f t="shared" si="5"/>
        <v>125.759765</v>
      </c>
      <c r="N17" s="12">
        <f t="shared" si="5"/>
        <v>119.47177674999999</v>
      </c>
      <c r="O17" s="12">
        <f t="shared" si="5"/>
        <v>113.49818791249999</v>
      </c>
      <c r="P17" s="12">
        <f t="shared" si="5"/>
        <v>107.82327851687498</v>
      </c>
      <c r="Q17" s="12">
        <f>+P17*4</f>
        <v>431.2931140674999</v>
      </c>
      <c r="R17" s="12">
        <f t="shared" si="5"/>
        <v>366.5991469573749</v>
      </c>
      <c r="S17" s="12">
        <f>+R17*(1+S18)</f>
        <v>329.9392322616374</v>
      </c>
      <c r="T17" s="12">
        <f>+S17*(1+T18)</f>
        <v>313.4422706485555</v>
      </c>
      <c r="U17" s="12">
        <f>+T17*(1+U18)</f>
        <v>313.4422706485555</v>
      </c>
      <c r="V17" s="12">
        <f>+U17*(1+V18)</f>
        <v>313.4422706485555</v>
      </c>
    </row>
    <row r="18" spans="1:22" s="2" customFormat="1" ht="12.75">
      <c r="A18" s="31"/>
      <c r="B18" s="73" t="s">
        <v>79</v>
      </c>
      <c r="C18" s="145"/>
      <c r="D18" s="157"/>
      <c r="E18" s="191">
        <f>(+E17-D17)/D17</f>
        <v>-0.09001343484102102</v>
      </c>
      <c r="F18" s="191">
        <f>(+F17-E17)/E17</f>
        <v>-0.03149606299212601</v>
      </c>
      <c r="G18" s="191">
        <f>(+G17-F17)/F17</f>
        <v>-0.10721544715447165</v>
      </c>
      <c r="H18" s="345">
        <f>(+H17-G17)/G17</f>
        <v>-0.06260671599317018</v>
      </c>
      <c r="I18" s="294">
        <f>(+I17-H17)/H17</f>
        <v>-0.06253794778384933</v>
      </c>
      <c r="J18" s="78">
        <f aca="true" t="shared" si="6" ref="J18:R18">+J6</f>
        <v>-0.05</v>
      </c>
      <c r="K18" s="78">
        <f t="shared" si="6"/>
        <v>-0.05</v>
      </c>
      <c r="L18" s="78">
        <f t="shared" si="6"/>
        <v>-0.05</v>
      </c>
      <c r="M18" s="78">
        <f t="shared" si="6"/>
        <v>-0.05</v>
      </c>
      <c r="N18" s="78">
        <f t="shared" si="6"/>
        <v>-0.05</v>
      </c>
      <c r="O18" s="78">
        <f t="shared" si="6"/>
        <v>-0.05</v>
      </c>
      <c r="P18" s="78">
        <f t="shared" si="6"/>
        <v>-0.05</v>
      </c>
      <c r="Q18" s="78">
        <f t="shared" si="6"/>
        <v>-0.15</v>
      </c>
      <c r="R18" s="78">
        <f t="shared" si="6"/>
        <v>-0.15</v>
      </c>
      <c r="S18" s="78">
        <f>+S6</f>
        <v>-0.1</v>
      </c>
      <c r="T18" s="78">
        <f>+T6</f>
        <v>-0.05</v>
      </c>
      <c r="U18" s="78">
        <f>+U6</f>
        <v>0</v>
      </c>
      <c r="V18" s="78">
        <f>+V6</f>
        <v>0</v>
      </c>
    </row>
    <row r="19" spans="1:22" s="111" customFormat="1" ht="12.75">
      <c r="A19" s="109"/>
      <c r="B19" s="110" t="s">
        <v>122</v>
      </c>
      <c r="C19" s="147"/>
      <c r="D19" s="107">
        <v>0.5</v>
      </c>
      <c r="E19" s="107">
        <f>+E20/E17</f>
        <v>0.5494094488188975</v>
      </c>
      <c r="F19" s="107">
        <f>+F20/F17</f>
        <v>0.5554878048780487</v>
      </c>
      <c r="G19" s="107">
        <f>+G20/G17</f>
        <v>0.5591348890153672</v>
      </c>
      <c r="H19" s="344">
        <f>+H20/H17</f>
        <v>0.5597965998785672</v>
      </c>
      <c r="I19" s="293">
        <f>+I20/I17</f>
        <v>0.4726230569948186</v>
      </c>
      <c r="J19" s="107">
        <v>0.535</v>
      </c>
      <c r="K19" s="107">
        <v>0.53</v>
      </c>
      <c r="L19" s="107">
        <v>0.53</v>
      </c>
      <c r="M19" s="107">
        <v>0.53</v>
      </c>
      <c r="N19" s="107">
        <v>0.53</v>
      </c>
      <c r="O19" s="107">
        <v>0.53</v>
      </c>
      <c r="P19" s="107">
        <v>0.53</v>
      </c>
      <c r="Q19" s="107">
        <v>0.53</v>
      </c>
      <c r="R19" s="107">
        <v>0.53</v>
      </c>
      <c r="S19" s="107">
        <v>0.53</v>
      </c>
      <c r="T19" s="107">
        <v>0.53</v>
      </c>
      <c r="U19" s="107">
        <v>0.53</v>
      </c>
      <c r="V19" s="107">
        <v>0.53</v>
      </c>
    </row>
    <row r="20" spans="1:22" s="2" customFormat="1" ht="12.75">
      <c r="A20" s="31"/>
      <c r="B20" s="26" t="s">
        <v>77</v>
      </c>
      <c r="C20" s="145"/>
      <c r="D20" s="80">
        <f>+D17*D19</f>
        <v>111.65</v>
      </c>
      <c r="E20" s="80">
        <f>+E23-E15</f>
        <v>111.63999999999999</v>
      </c>
      <c r="F20" s="80">
        <f>+F23-F15</f>
        <v>109.32</v>
      </c>
      <c r="G20" s="80">
        <f>+G23-G15</f>
        <v>98.24000000000001</v>
      </c>
      <c r="H20" s="333">
        <f>+H23-H15</f>
        <v>92.19850000000001</v>
      </c>
      <c r="I20" s="205">
        <f>+I23-I15</f>
        <v>72.973</v>
      </c>
      <c r="J20" s="80">
        <f aca="true" t="shared" si="7" ref="J20:R20">+J17*J19</f>
        <v>78.47380000000001</v>
      </c>
      <c r="K20" s="80">
        <f t="shared" si="7"/>
        <v>73.85338</v>
      </c>
      <c r="L20" s="80">
        <f t="shared" si="7"/>
        <v>70.160711</v>
      </c>
      <c r="M20" s="80">
        <f t="shared" si="7"/>
        <v>66.65267545</v>
      </c>
      <c r="N20" s="80">
        <f t="shared" si="7"/>
        <v>63.3200416775</v>
      </c>
      <c r="O20" s="80">
        <f t="shared" si="7"/>
        <v>60.154039593624994</v>
      </c>
      <c r="P20" s="80">
        <f t="shared" si="7"/>
        <v>57.14633761394374</v>
      </c>
      <c r="Q20" s="80">
        <f t="shared" si="7"/>
        <v>228.58535045577497</v>
      </c>
      <c r="R20" s="80">
        <f t="shared" si="7"/>
        <v>194.2975478874087</v>
      </c>
      <c r="S20" s="80">
        <f>+S17*S19</f>
        <v>174.86779309866785</v>
      </c>
      <c r="T20" s="80">
        <f>+T17*T19</f>
        <v>166.12440344373442</v>
      </c>
      <c r="U20" s="80">
        <f>+U17*U19</f>
        <v>166.12440344373442</v>
      </c>
      <c r="V20" s="80">
        <f>+V17*V19</f>
        <v>166.12440344373442</v>
      </c>
    </row>
    <row r="21" spans="1:22" s="2" customFormat="1" ht="12.75">
      <c r="A21" s="31"/>
      <c r="B21" s="73"/>
      <c r="C21" s="145"/>
      <c r="D21" s="38"/>
      <c r="E21" s="38"/>
      <c r="F21" s="38"/>
      <c r="G21" s="38"/>
      <c r="H21" s="346"/>
      <c r="I21" s="29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22" s="2" customFormat="1" ht="12.75">
      <c r="A22" s="31"/>
      <c r="B22" s="73" t="s">
        <v>80</v>
      </c>
      <c r="C22" s="145"/>
      <c r="D22" s="157">
        <f>+D12+D17</f>
        <v>313.3</v>
      </c>
      <c r="E22" s="157">
        <v>289.1</v>
      </c>
      <c r="F22" s="157">
        <v>286.5</v>
      </c>
      <c r="G22" s="157">
        <v>267.7</v>
      </c>
      <c r="H22" s="343">
        <v>264.4</v>
      </c>
      <c r="I22" s="291">
        <f aca="true" t="shared" si="8" ref="I22:R22">+I12+I17</f>
        <v>253.3</v>
      </c>
      <c r="J22" s="12">
        <f t="shared" si="8"/>
        <v>248.0525</v>
      </c>
      <c r="K22" s="12">
        <f t="shared" si="8"/>
        <v>243.2528125</v>
      </c>
      <c r="L22" s="12">
        <f t="shared" si="8"/>
        <v>238.88318281249997</v>
      </c>
      <c r="M22" s="12">
        <f t="shared" si="8"/>
        <v>234.92685988281247</v>
      </c>
      <c r="N22" s="12">
        <f t="shared" si="8"/>
        <v>231.36804900488275</v>
      </c>
      <c r="O22" s="12">
        <f t="shared" si="8"/>
        <v>228.1918669737548</v>
      </c>
      <c r="P22" s="12">
        <f t="shared" si="8"/>
        <v>225.38429955466114</v>
      </c>
      <c r="Q22" s="12">
        <f t="shared" si="8"/>
        <v>901.5371982186446</v>
      </c>
      <c r="R22" s="12">
        <f t="shared" si="8"/>
        <v>907.3798437311912</v>
      </c>
      <c r="S22" s="12">
        <f>+S12+S17</f>
        <v>951.837033551526</v>
      </c>
      <c r="T22" s="12">
        <f>+T12+T17</f>
        <v>1028.6247421319274</v>
      </c>
      <c r="U22" s="12">
        <f>+U12+U17</f>
        <v>1135.9021128544332</v>
      </c>
      <c r="V22" s="12">
        <f>+V12+V17</f>
        <v>1259.2710891853146</v>
      </c>
    </row>
    <row r="23" spans="1:22" s="26" customFormat="1" ht="13.5" thickBot="1">
      <c r="A23" s="32" t="s">
        <v>15</v>
      </c>
      <c r="B23" s="32" t="s">
        <v>112</v>
      </c>
      <c r="C23" s="148"/>
      <c r="D23" s="81">
        <f>+D15+D20</f>
        <v>147.11</v>
      </c>
      <c r="E23" s="81">
        <v>146</v>
      </c>
      <c r="F23" s="81">
        <v>145.2</v>
      </c>
      <c r="G23" s="81">
        <v>137.8</v>
      </c>
      <c r="H23" s="334">
        <v>141.55</v>
      </c>
      <c r="I23" s="208">
        <v>115.5</v>
      </c>
      <c r="J23" s="81">
        <f aca="true" t="shared" si="9" ref="J23:R23">+J15+J20</f>
        <v>122.06397500000001</v>
      </c>
      <c r="K23" s="81">
        <f t="shared" si="9"/>
        <v>118.53330937499999</v>
      </c>
      <c r="L23" s="81">
        <f t="shared" si="9"/>
        <v>115.957638609375</v>
      </c>
      <c r="M23" s="81">
        <f t="shared" si="9"/>
        <v>113.59452624960936</v>
      </c>
      <c r="N23" s="81">
        <f t="shared" si="9"/>
        <v>111.4354387470996</v>
      </c>
      <c r="O23" s="81">
        <f t="shared" si="9"/>
        <v>109.47232158996457</v>
      </c>
      <c r="P23" s="81">
        <f t="shared" si="9"/>
        <v>107.6975766601918</v>
      </c>
      <c r="Q23" s="81">
        <f t="shared" si="9"/>
        <v>430.7903066407672</v>
      </c>
      <c r="R23" s="81">
        <f t="shared" si="9"/>
        <v>426.8332475001497</v>
      </c>
      <c r="S23" s="81">
        <f>+S15+S20</f>
        <v>442.28384765332</v>
      </c>
      <c r="T23" s="81">
        <f>+T15+T20</f>
        <v>473.6528661815844</v>
      </c>
      <c r="U23" s="81">
        <f>+U15+U20</f>
        <v>519.7821355922617</v>
      </c>
      <c r="V23" s="81">
        <f>+V15+V20</f>
        <v>572.830795414541</v>
      </c>
    </row>
    <row r="24" spans="1:22" s="26" customFormat="1" ht="13.5" thickTop="1">
      <c r="A24" s="32"/>
      <c r="B24" s="26" t="s">
        <v>81</v>
      </c>
      <c r="C24" s="148" t="s">
        <v>125</v>
      </c>
      <c r="D24" s="83">
        <f>+D23/D22</f>
        <v>0.4695499521225663</v>
      </c>
      <c r="E24" s="241">
        <f>+E23/E22</f>
        <v>0.5050155655482531</v>
      </c>
      <c r="F24" s="241">
        <f>+F23/F22</f>
        <v>0.506806282722513</v>
      </c>
      <c r="G24" s="241">
        <f aca="true" t="shared" si="10" ref="G24:R24">+G23/G22</f>
        <v>0.5147553231228988</v>
      </c>
      <c r="H24" s="335">
        <f t="shared" si="10"/>
        <v>0.5353630862329805</v>
      </c>
      <c r="I24" s="350">
        <f t="shared" si="10"/>
        <v>0.4559810501381761</v>
      </c>
      <c r="J24" s="240">
        <f t="shared" si="10"/>
        <v>0.4920892754558007</v>
      </c>
      <c r="K24" s="240">
        <f t="shared" si="10"/>
        <v>0.48728443530329163</v>
      </c>
      <c r="L24" s="240">
        <f t="shared" si="10"/>
        <v>0.48541566318793755</v>
      </c>
      <c r="M24" s="251">
        <f t="shared" si="10"/>
        <v>0.4835314544546895</v>
      </c>
      <c r="N24" s="251">
        <f t="shared" si="10"/>
        <v>0.4816371112017627</v>
      </c>
      <c r="O24" s="251">
        <f t="shared" si="10"/>
        <v>0.4797380513239562</v>
      </c>
      <c r="P24" s="251">
        <f t="shared" si="10"/>
        <v>0.47783974692555076</v>
      </c>
      <c r="Q24" s="276">
        <f t="shared" si="10"/>
        <v>0.47783974692555076</v>
      </c>
      <c r="R24" s="241">
        <f t="shared" si="10"/>
        <v>0.47040194957934056</v>
      </c>
      <c r="S24" s="276">
        <f>+S23/S22</f>
        <v>0.4646634161764601</v>
      </c>
      <c r="T24" s="241">
        <f>+T23/T22</f>
        <v>0.4604719746482975</v>
      </c>
      <c r="U24" s="276">
        <f>+U23/U22</f>
        <v>0.4575941269147655</v>
      </c>
      <c r="V24" s="241">
        <f>+V23/V22</f>
        <v>0.45489077001293965</v>
      </c>
    </row>
    <row r="25" spans="1:9" s="2" customFormat="1" ht="12.75">
      <c r="A25" s="31"/>
      <c r="B25" s="103"/>
      <c r="C25" s="145"/>
      <c r="D25" s="149"/>
      <c r="E25" s="149"/>
      <c r="F25" s="149"/>
      <c r="G25" s="149"/>
      <c r="H25" s="342"/>
      <c r="I25" s="290"/>
    </row>
    <row r="26" spans="1:22" s="26" customFormat="1" ht="12.75">
      <c r="A26" s="32"/>
      <c r="B26" s="25"/>
      <c r="C26" s="148"/>
      <c r="D26" s="38"/>
      <c r="E26" s="38"/>
      <c r="F26" s="38"/>
      <c r="G26" s="38"/>
      <c r="H26" s="346"/>
      <c r="I26" s="295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2" customFormat="1" ht="12.75">
      <c r="A27" s="31"/>
      <c r="B27" s="53" t="s">
        <v>47</v>
      </c>
      <c r="C27" s="149"/>
      <c r="D27" s="157"/>
      <c r="E27" s="157"/>
      <c r="F27" s="157"/>
      <c r="G27" s="157"/>
      <c r="H27" s="343"/>
      <c r="I27" s="29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2" customFormat="1" ht="12.75">
      <c r="A28" s="31"/>
      <c r="B28" s="25" t="s">
        <v>17</v>
      </c>
      <c r="C28" s="149"/>
      <c r="D28" s="157"/>
      <c r="E28" s="157"/>
      <c r="F28" s="157"/>
      <c r="G28" s="157"/>
      <c r="H28" s="343"/>
      <c r="I28" s="29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" customFormat="1" ht="12.75">
      <c r="A29" s="31"/>
      <c r="B29" s="1" t="s">
        <v>89</v>
      </c>
      <c r="C29" s="149"/>
      <c r="D29" s="157">
        <v>3.325</v>
      </c>
      <c r="E29" s="157">
        <v>2.07</v>
      </c>
      <c r="F29" s="157">
        <v>1.7825</v>
      </c>
      <c r="G29" s="157">
        <v>1.495</v>
      </c>
      <c r="H29" s="343">
        <v>1.2075</v>
      </c>
      <c r="I29" s="29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s="2" customFormat="1" ht="12.75">
      <c r="A30" s="31"/>
      <c r="B30" s="1" t="s">
        <v>90</v>
      </c>
      <c r="C30" s="149"/>
      <c r="D30" s="157"/>
      <c r="E30" s="157">
        <v>2.629</v>
      </c>
      <c r="F30" s="157">
        <v>2.629</v>
      </c>
      <c r="G30" s="157">
        <v>2.629</v>
      </c>
      <c r="H30" s="343">
        <v>2.629</v>
      </c>
      <c r="I30" s="29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s="2" customFormat="1" ht="12.75">
      <c r="A31" s="31"/>
      <c r="B31" s="1" t="s">
        <v>25</v>
      </c>
      <c r="C31" s="187"/>
      <c r="D31" s="157">
        <v>0</v>
      </c>
      <c r="E31" s="157">
        <v>0</v>
      </c>
      <c r="F31" s="157"/>
      <c r="G31" s="157"/>
      <c r="H31" s="343"/>
      <c r="I31" s="29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s="2" customFormat="1" ht="12.75">
      <c r="A32" s="31"/>
      <c r="B32" s="1" t="s">
        <v>34</v>
      </c>
      <c r="C32" s="149"/>
      <c r="D32" s="157">
        <v>2.875</v>
      </c>
      <c r="E32" s="157">
        <v>2.875</v>
      </c>
      <c r="F32" s="157">
        <v>2.875</v>
      </c>
      <c r="G32" s="157">
        <v>2.875</v>
      </c>
      <c r="H32" s="343">
        <v>2.875</v>
      </c>
      <c r="I32" s="29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" customFormat="1" ht="12.75">
      <c r="A33" s="31"/>
      <c r="B33" s="19" t="s">
        <v>14</v>
      </c>
      <c r="C33" s="149"/>
      <c r="D33" s="157">
        <v>29.3595</v>
      </c>
      <c r="E33" s="157">
        <v>25.3595</v>
      </c>
      <c r="F33" s="157">
        <v>19.7595</v>
      </c>
      <c r="G33" s="157">
        <v>27.9295</v>
      </c>
      <c r="H33" s="343">
        <v>22.4595</v>
      </c>
      <c r="I33" s="29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s="2" customFormat="1" ht="12.75">
      <c r="A34" s="31"/>
      <c r="B34" s="19"/>
      <c r="C34" s="149"/>
      <c r="D34" s="157"/>
      <c r="E34" s="157"/>
      <c r="F34" s="157"/>
      <c r="G34" s="157"/>
      <c r="H34" s="343"/>
      <c r="I34" s="291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2" customFormat="1" ht="12.75">
      <c r="A35" s="31"/>
      <c r="B35" s="19" t="s">
        <v>134</v>
      </c>
      <c r="C35" s="149"/>
      <c r="D35" s="157"/>
      <c r="E35" s="157"/>
      <c r="F35" s="157"/>
      <c r="G35" s="157"/>
      <c r="H35" s="343"/>
      <c r="I35" s="291">
        <f>14-I36</f>
        <v>14</v>
      </c>
      <c r="J35" s="12">
        <f aca="true" t="shared" si="11" ref="J35:P35">(+I79-107.5)*(0.0925/4)</f>
        <v>18.4930625</v>
      </c>
      <c r="K35" s="12">
        <f t="shared" si="11"/>
        <v>17.8895</v>
      </c>
      <c r="L35" s="12">
        <f t="shared" si="11"/>
        <v>17.8895</v>
      </c>
      <c r="M35" s="12">
        <f t="shared" si="11"/>
        <v>15.427819667480469</v>
      </c>
      <c r="N35" s="12">
        <f t="shared" si="11"/>
        <v>15.427819667480469</v>
      </c>
      <c r="O35" s="12">
        <f t="shared" si="11"/>
        <v>13.399384071190322</v>
      </c>
      <c r="P35" s="12">
        <f t="shared" si="11"/>
        <v>13.399384071190322</v>
      </c>
      <c r="Q35" s="12">
        <f>(+P79-107.5)*(0.0925)</f>
        <v>45.14762267074775</v>
      </c>
      <c r="R35" s="12">
        <f>(+Q79-107.5)*(0.0925)</f>
        <v>28.767319919310765</v>
      </c>
      <c r="S35" s="12">
        <f>(+R79-107.5)*(0.0925)</f>
        <v>12.669358718890663</v>
      </c>
      <c r="T35" s="12">
        <f>(+S79-107.5)*(0.0925)</f>
        <v>-0.6829650070300354</v>
      </c>
      <c r="U35" s="12"/>
      <c r="V35" s="12"/>
    </row>
    <row r="36" spans="1:22" s="2" customFormat="1" ht="12.75">
      <c r="A36" s="31"/>
      <c r="B36" s="19" t="s">
        <v>135</v>
      </c>
      <c r="C36" s="149"/>
      <c r="D36" s="157"/>
      <c r="E36" s="157"/>
      <c r="F36" s="157"/>
      <c r="G36" s="157"/>
      <c r="H36" s="343"/>
      <c r="I36" s="291"/>
      <c r="J36" s="12">
        <f>107*0.04</f>
        <v>4.28</v>
      </c>
      <c r="K36" s="12"/>
      <c r="L36" s="12">
        <f>107*0.04</f>
        <v>4.28</v>
      </c>
      <c r="M36" s="12"/>
      <c r="N36" s="12">
        <f>107*0.04</f>
        <v>4.28</v>
      </c>
      <c r="O36" s="12"/>
      <c r="P36" s="12">
        <f>+N36</f>
        <v>4.28</v>
      </c>
      <c r="Q36" s="12">
        <f aca="true" t="shared" si="12" ref="Q36:V36">107.5*0.08</f>
        <v>8.6</v>
      </c>
      <c r="R36" s="12">
        <f t="shared" si="12"/>
        <v>8.6</v>
      </c>
      <c r="S36" s="12">
        <f t="shared" si="12"/>
        <v>8.6</v>
      </c>
      <c r="T36" s="12">
        <f t="shared" si="12"/>
        <v>8.6</v>
      </c>
      <c r="U36" s="12">
        <f t="shared" si="12"/>
        <v>8.6</v>
      </c>
      <c r="V36" s="12">
        <f t="shared" si="12"/>
        <v>8.6</v>
      </c>
    </row>
    <row r="37" spans="1:22" s="2" customFormat="1" ht="12.75">
      <c r="A37" s="31"/>
      <c r="B37" s="19"/>
      <c r="C37" s="149"/>
      <c r="D37" s="157"/>
      <c r="E37" s="157"/>
      <c r="F37" s="157"/>
      <c r="G37" s="157"/>
      <c r="H37" s="343"/>
      <c r="I37" s="29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2" customFormat="1" ht="12.75">
      <c r="A38" s="31" t="s">
        <v>119</v>
      </c>
      <c r="B38" s="19" t="s">
        <v>115</v>
      </c>
      <c r="C38" s="149"/>
      <c r="D38" s="157"/>
      <c r="E38" s="157">
        <v>1.9</v>
      </c>
      <c r="F38" s="157">
        <f>7.4-E38</f>
        <v>5.5</v>
      </c>
      <c r="G38" s="157"/>
      <c r="H38" s="343">
        <v>17.9</v>
      </c>
      <c r="I38" s="291">
        <f>5.6+0.15</f>
        <v>5.75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2" customFormat="1" ht="12.75">
      <c r="A39" s="31"/>
      <c r="B39" s="25"/>
      <c r="C39" s="149"/>
      <c r="D39" s="157"/>
      <c r="E39" s="157"/>
      <c r="F39" s="157"/>
      <c r="G39" s="157"/>
      <c r="H39" s="343"/>
      <c r="I39" s="291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2" customFormat="1" ht="12.75">
      <c r="A40" s="31"/>
      <c r="B40" s="25" t="s">
        <v>117</v>
      </c>
      <c r="C40" s="149"/>
      <c r="D40" s="157">
        <v>27.3</v>
      </c>
      <c r="E40" s="192">
        <v>29.8</v>
      </c>
      <c r="F40" s="157">
        <v>31.7</v>
      </c>
      <c r="G40" s="157">
        <v>5.6</v>
      </c>
      <c r="H40" s="343">
        <f>63.5-(E40+F40+G40)</f>
        <v>-3.5999999999999943</v>
      </c>
      <c r="I40" s="291">
        <v>16</v>
      </c>
      <c r="J40" s="12">
        <f aca="true" t="shared" si="13" ref="J40:P40">+I40</f>
        <v>16</v>
      </c>
      <c r="K40" s="12">
        <f t="shared" si="13"/>
        <v>16</v>
      </c>
      <c r="L40" s="12">
        <f t="shared" si="13"/>
        <v>16</v>
      </c>
      <c r="M40" s="12">
        <v>20</v>
      </c>
      <c r="N40" s="12">
        <f t="shared" si="13"/>
        <v>20</v>
      </c>
      <c r="O40" s="12">
        <f t="shared" si="13"/>
        <v>20</v>
      </c>
      <c r="P40" s="12">
        <f t="shared" si="13"/>
        <v>20</v>
      </c>
      <c r="Q40" s="12">
        <f>+P40*4</f>
        <v>80</v>
      </c>
      <c r="R40" s="12">
        <f>+Q40</f>
        <v>80</v>
      </c>
      <c r="S40" s="12">
        <f>+R40</f>
        <v>80</v>
      </c>
      <c r="T40" s="12">
        <f>+S40</f>
        <v>80</v>
      </c>
      <c r="U40" s="12">
        <f>+T40</f>
        <v>80</v>
      </c>
      <c r="V40" s="12">
        <f>+U40</f>
        <v>80</v>
      </c>
    </row>
    <row r="41" spans="1:22" s="2" customFormat="1" ht="12.75">
      <c r="A41" s="31"/>
      <c r="C41" s="149"/>
      <c r="D41" s="157"/>
      <c r="E41" s="157"/>
      <c r="F41" s="157"/>
      <c r="G41" s="157"/>
      <c r="H41" s="343"/>
      <c r="I41" s="291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2" customFormat="1" ht="12.75">
      <c r="A42" s="31"/>
      <c r="B42" s="25" t="s">
        <v>71</v>
      </c>
      <c r="C42" s="149"/>
      <c r="D42" s="157">
        <v>14.7</v>
      </c>
      <c r="E42" s="157">
        <v>8.2</v>
      </c>
      <c r="F42" s="157">
        <f>16.9-E42</f>
        <v>8.7</v>
      </c>
      <c r="G42" s="157">
        <f>-SUM(E42:F42)+24.8</f>
        <v>7.900000000000002</v>
      </c>
      <c r="H42" s="343">
        <v>15.4</v>
      </c>
      <c r="I42" s="291">
        <v>18.7</v>
      </c>
      <c r="J42" s="12">
        <v>13</v>
      </c>
      <c r="K42" s="12">
        <f aca="true" t="shared" si="14" ref="K42:P42">+J42</f>
        <v>13</v>
      </c>
      <c r="L42" s="12">
        <f t="shared" si="14"/>
        <v>13</v>
      </c>
      <c r="M42" s="12">
        <f t="shared" si="14"/>
        <v>13</v>
      </c>
      <c r="N42" s="12">
        <f t="shared" si="14"/>
        <v>13</v>
      </c>
      <c r="O42" s="12">
        <f t="shared" si="14"/>
        <v>13</v>
      </c>
      <c r="P42" s="12">
        <f t="shared" si="14"/>
        <v>13</v>
      </c>
      <c r="Q42" s="12">
        <f>+P42*4</f>
        <v>52</v>
      </c>
      <c r="R42" s="12">
        <f>+Q42</f>
        <v>52</v>
      </c>
      <c r="S42" s="12">
        <f>+R42</f>
        <v>52</v>
      </c>
      <c r="T42" s="12">
        <f>+S42</f>
        <v>52</v>
      </c>
      <c r="U42" s="12">
        <f>+T42</f>
        <v>52</v>
      </c>
      <c r="V42" s="12">
        <f>+U42</f>
        <v>52</v>
      </c>
    </row>
    <row r="43" spans="1:22" s="2" customFormat="1" ht="12.75">
      <c r="A43" s="31" t="s">
        <v>119</v>
      </c>
      <c r="B43" s="25" t="s">
        <v>116</v>
      </c>
      <c r="C43" s="149"/>
      <c r="D43" s="157">
        <v>0</v>
      </c>
      <c r="E43" s="157">
        <v>13.036</v>
      </c>
      <c r="F43" s="157">
        <v>0</v>
      </c>
      <c r="G43" s="157">
        <v>3.6</v>
      </c>
      <c r="H43" s="343">
        <f>14.526-E43-F43-G43</f>
        <v>-2.11</v>
      </c>
      <c r="I43" s="291">
        <v>1.8</v>
      </c>
      <c r="J43" s="12">
        <v>0</v>
      </c>
      <c r="K43" s="12">
        <v>0</v>
      </c>
      <c r="L43" s="12">
        <v>0</v>
      </c>
      <c r="M43" s="27">
        <v>13</v>
      </c>
      <c r="N43" s="12">
        <v>0</v>
      </c>
      <c r="O43" s="12">
        <v>0</v>
      </c>
      <c r="P43" s="12">
        <v>0</v>
      </c>
      <c r="Q43" s="27">
        <v>13</v>
      </c>
      <c r="R43" s="27">
        <v>13</v>
      </c>
      <c r="S43" s="12">
        <v>0</v>
      </c>
      <c r="T43" s="12">
        <v>0</v>
      </c>
      <c r="U43" s="12">
        <v>0</v>
      </c>
      <c r="V43" s="12">
        <v>0</v>
      </c>
    </row>
    <row r="44" spans="1:22" s="2" customFormat="1" ht="12.75">
      <c r="A44" s="31" t="s">
        <v>119</v>
      </c>
      <c r="B44" s="25" t="s">
        <v>118</v>
      </c>
      <c r="C44" s="149"/>
      <c r="D44" s="157"/>
      <c r="E44" s="157">
        <f>42.736+(315.3-310.1)</f>
        <v>47.935999999999986</v>
      </c>
      <c r="F44" s="157">
        <f>30.4-E44-0.7</f>
        <v>-18.235999999999986</v>
      </c>
      <c r="G44" s="157">
        <f>-SUM(E44:F44)+43.577</f>
        <v>13.876999999999999</v>
      </c>
      <c r="H44" s="343">
        <f>14.529-E44-F44-G44</f>
        <v>-29.047999999999995</v>
      </c>
      <c r="I44" s="291">
        <v>-12.2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2" customFormat="1" ht="12.75">
      <c r="A45" s="31"/>
      <c r="B45" s="25"/>
      <c r="C45" s="149"/>
      <c r="D45" s="157"/>
      <c r="E45" s="157"/>
      <c r="F45" s="157"/>
      <c r="G45" s="157"/>
      <c r="H45" s="343"/>
      <c r="I45" s="291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2" customFormat="1" ht="12.75">
      <c r="A46" s="31"/>
      <c r="B46" s="25" t="s">
        <v>132</v>
      </c>
      <c r="C46" s="149"/>
      <c r="D46" s="157"/>
      <c r="E46" s="157"/>
      <c r="F46" s="157"/>
      <c r="G46" s="157">
        <v>26.8</v>
      </c>
      <c r="H46" s="343">
        <v>-21.2</v>
      </c>
      <c r="I46" s="291">
        <v>6.2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2" customFormat="1" ht="12.75">
      <c r="A47" s="31"/>
      <c r="B47" s="25" t="s">
        <v>131</v>
      </c>
      <c r="C47" s="149"/>
      <c r="D47" s="157"/>
      <c r="E47" s="157"/>
      <c r="F47" s="157"/>
      <c r="G47" s="157">
        <v>16.305</v>
      </c>
      <c r="H47" s="343">
        <f>63-G47</f>
        <v>46.695</v>
      </c>
      <c r="I47" s="291">
        <v>4.2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" customFormat="1" ht="12.75">
      <c r="A48" s="31"/>
      <c r="B48" s="25" t="s">
        <v>102</v>
      </c>
      <c r="C48" s="149"/>
      <c r="D48" s="157">
        <v>2.9</v>
      </c>
      <c r="E48" s="157">
        <v>0</v>
      </c>
      <c r="F48" s="157"/>
      <c r="G48" s="157"/>
      <c r="H48" s="343"/>
      <c r="I48" s="29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2" customFormat="1" ht="12.75">
      <c r="A49" s="31"/>
      <c r="B49" s="2" t="s">
        <v>103</v>
      </c>
      <c r="C49" s="149"/>
      <c r="D49" s="157">
        <v>0.5</v>
      </c>
      <c r="E49" s="157"/>
      <c r="F49" s="157"/>
      <c r="G49" s="157">
        <v>-1.6</v>
      </c>
      <c r="H49" s="343"/>
      <c r="I49" s="295">
        <v>3.2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2" customFormat="1" ht="12.75">
      <c r="A50" s="31"/>
      <c r="B50" s="25" t="s">
        <v>19</v>
      </c>
      <c r="C50" s="150" t="s">
        <v>107</v>
      </c>
      <c r="D50" s="157">
        <v>10</v>
      </c>
      <c r="E50" s="157">
        <v>0</v>
      </c>
      <c r="F50" s="157">
        <v>0</v>
      </c>
      <c r="G50" s="157">
        <f aca="true" t="shared" si="15" ref="G50:P50">+F50</f>
        <v>0</v>
      </c>
      <c r="H50" s="343">
        <f t="shared" si="15"/>
        <v>0</v>
      </c>
      <c r="I50" s="291">
        <f t="shared" si="15"/>
        <v>0</v>
      </c>
      <c r="J50" s="12">
        <f t="shared" si="15"/>
        <v>0</v>
      </c>
      <c r="K50" s="12">
        <f t="shared" si="15"/>
        <v>0</v>
      </c>
      <c r="L50" s="12">
        <f t="shared" si="15"/>
        <v>0</v>
      </c>
      <c r="M50" s="12">
        <f t="shared" si="15"/>
        <v>0</v>
      </c>
      <c r="N50" s="12">
        <f t="shared" si="15"/>
        <v>0</v>
      </c>
      <c r="O50" s="12">
        <f t="shared" si="15"/>
        <v>0</v>
      </c>
      <c r="P50" s="12">
        <f t="shared" si="15"/>
        <v>0</v>
      </c>
      <c r="Q50" s="12">
        <f>+P50*4</f>
        <v>0</v>
      </c>
      <c r="R50" s="12">
        <f>+Q50</f>
        <v>0</v>
      </c>
      <c r="S50" s="12">
        <f>+R50</f>
        <v>0</v>
      </c>
      <c r="T50" s="12">
        <f>+S50</f>
        <v>0</v>
      </c>
      <c r="U50" s="12">
        <f>+T50</f>
        <v>0</v>
      </c>
      <c r="V50" s="12">
        <f>+U50</f>
        <v>0</v>
      </c>
    </row>
    <row r="51" spans="1:22" s="2" customFormat="1" ht="12.75">
      <c r="A51" s="31"/>
      <c r="C51" s="150"/>
      <c r="D51" s="13"/>
      <c r="E51" s="13"/>
      <c r="F51" s="13"/>
      <c r="G51" s="13"/>
      <c r="H51" s="347"/>
      <c r="I51" s="296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26" customFormat="1" ht="12.75">
      <c r="A52" s="32" t="s">
        <v>40</v>
      </c>
      <c r="B52" s="25" t="s">
        <v>21</v>
      </c>
      <c r="C52" s="151"/>
      <c r="D52" s="38">
        <f>SUM(D28:D51)</f>
        <v>90.9595</v>
      </c>
      <c r="E52" s="38">
        <f>SUM(E28:E51)</f>
        <v>133.8055</v>
      </c>
      <c r="F52" s="38">
        <f aca="true" t="shared" si="16" ref="F52:R52">SUM(F28:F51)</f>
        <v>54.71000000000001</v>
      </c>
      <c r="G52" s="38">
        <f t="shared" si="16"/>
        <v>107.41050000000001</v>
      </c>
      <c r="H52" s="346">
        <f t="shared" si="16"/>
        <v>53.20800000000001</v>
      </c>
      <c r="I52" s="295">
        <f t="shared" si="16"/>
        <v>57.650000000000006</v>
      </c>
      <c r="J52" s="27">
        <f t="shared" si="16"/>
        <v>51.7730625</v>
      </c>
      <c r="K52" s="27">
        <f t="shared" si="16"/>
        <v>46.8895</v>
      </c>
      <c r="L52" s="27">
        <f t="shared" si="16"/>
        <v>51.1695</v>
      </c>
      <c r="M52" s="27">
        <f t="shared" si="16"/>
        <v>61.42781966748047</v>
      </c>
      <c r="N52" s="27">
        <f t="shared" si="16"/>
        <v>52.707819667480464</v>
      </c>
      <c r="O52" s="27">
        <f t="shared" si="16"/>
        <v>46.399384071190326</v>
      </c>
      <c r="P52" s="27">
        <f t="shared" si="16"/>
        <v>50.67938407119033</v>
      </c>
      <c r="Q52" s="27">
        <f t="shared" si="16"/>
        <v>198.74762267074775</v>
      </c>
      <c r="R52" s="27">
        <f t="shared" si="16"/>
        <v>182.36731991931077</v>
      </c>
      <c r="S52" s="27">
        <f>SUM(S28:S51)</f>
        <v>153.26935871889066</v>
      </c>
      <c r="T52" s="27">
        <f>SUM(T28:T51)</f>
        <v>139.91703499296995</v>
      </c>
      <c r="U52" s="27">
        <f>SUM(U28:U51)</f>
        <v>140.6</v>
      </c>
      <c r="V52" s="27">
        <f>SUM(V28:V51)</f>
        <v>140.6</v>
      </c>
    </row>
    <row r="53" spans="1:22" s="26" customFormat="1" ht="12.75">
      <c r="A53" s="32"/>
      <c r="B53" s="25"/>
      <c r="C53" s="151"/>
      <c r="D53" s="38"/>
      <c r="E53" s="38"/>
      <c r="F53" s="38"/>
      <c r="G53" s="38"/>
      <c r="H53" s="346"/>
      <c r="I53" s="295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1:22" s="26" customFormat="1" ht="12.75">
      <c r="A54" s="32"/>
      <c r="B54" s="3" t="s">
        <v>35</v>
      </c>
      <c r="C54" s="145"/>
      <c r="D54" s="157">
        <v>52</v>
      </c>
      <c r="E54" s="38"/>
      <c r="F54" s="38"/>
      <c r="G54" s="38"/>
      <c r="H54" s="346">
        <v>-275</v>
      </c>
      <c r="I54" s="295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s="2" customFormat="1" ht="12.75">
      <c r="A55" s="31"/>
      <c r="B55" s="3" t="s">
        <v>54</v>
      </c>
      <c r="C55" s="145"/>
      <c r="D55" s="157">
        <v>72</v>
      </c>
      <c r="E55" s="157"/>
      <c r="F55" s="13"/>
      <c r="G55" s="157"/>
      <c r="H55" s="347"/>
      <c r="I55" s="296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26" customFormat="1" ht="13.5" thickBot="1">
      <c r="A56" s="32" t="s">
        <v>41</v>
      </c>
      <c r="B56" s="25" t="s">
        <v>43</v>
      </c>
      <c r="C56" s="152" t="s">
        <v>44</v>
      </c>
      <c r="D56" s="33">
        <f>+D23-D52+D55+D54</f>
        <v>180.15050000000002</v>
      </c>
      <c r="E56" s="142">
        <f>+E23-E52</f>
        <v>12.194500000000005</v>
      </c>
      <c r="F56" s="142">
        <f>+F23-F52</f>
        <v>90.48999999999998</v>
      </c>
      <c r="G56" s="142">
        <f>+G23-G52</f>
        <v>30.389499999999998</v>
      </c>
      <c r="H56" s="336">
        <f>SUM(H52:H55)</f>
        <v>-221.79199999999997</v>
      </c>
      <c r="I56" s="351">
        <f aca="true" t="shared" si="17" ref="I56:V56">+I23-I52</f>
        <v>57.849999999999994</v>
      </c>
      <c r="J56" s="246">
        <f t="shared" si="17"/>
        <v>70.29091250000002</v>
      </c>
      <c r="K56" s="246">
        <f t="shared" si="17"/>
        <v>71.64380937499999</v>
      </c>
      <c r="L56" s="246">
        <f t="shared" si="17"/>
        <v>64.788138609375</v>
      </c>
      <c r="M56" s="252">
        <f t="shared" si="17"/>
        <v>52.16670658212889</v>
      </c>
      <c r="N56" s="252">
        <f t="shared" si="17"/>
        <v>58.72761907961913</v>
      </c>
      <c r="O56" s="252">
        <f t="shared" si="17"/>
        <v>63.07293751877424</v>
      </c>
      <c r="P56" s="252">
        <f t="shared" si="17"/>
        <v>57.01819258900147</v>
      </c>
      <c r="Q56" s="277">
        <f t="shared" si="17"/>
        <v>232.04268397001945</v>
      </c>
      <c r="R56" s="142">
        <f t="shared" si="17"/>
        <v>244.46592758083892</v>
      </c>
      <c r="S56" s="277">
        <f t="shared" si="17"/>
        <v>289.0144889344293</v>
      </c>
      <c r="T56" s="142">
        <f t="shared" si="17"/>
        <v>333.73583118861444</v>
      </c>
      <c r="U56" s="277">
        <f t="shared" si="17"/>
        <v>379.1821355922617</v>
      </c>
      <c r="V56" s="142">
        <f t="shared" si="17"/>
        <v>432.2307954145409</v>
      </c>
    </row>
    <row r="57" spans="1:22" s="26" customFormat="1" ht="13.5" thickTop="1">
      <c r="A57" s="32"/>
      <c r="B57" s="25"/>
      <c r="C57" s="152"/>
      <c r="D57" s="38"/>
      <c r="E57" s="38"/>
      <c r="F57" s="38"/>
      <c r="G57" s="38"/>
      <c r="H57" s="346"/>
      <c r="I57" s="295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26" customFormat="1" ht="12.75">
      <c r="A58" s="32"/>
      <c r="B58" s="25" t="s">
        <v>136</v>
      </c>
      <c r="C58" s="152"/>
      <c r="D58" s="38"/>
      <c r="E58" s="38"/>
      <c r="F58" s="38"/>
      <c r="G58" s="38"/>
      <c r="H58" s="346">
        <f>-974.2-25</f>
        <v>-999.2</v>
      </c>
      <c r="I58" s="295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6" customFormat="1" ht="12.75">
      <c r="A59" s="32"/>
      <c r="B59" s="25"/>
      <c r="C59" s="152"/>
      <c r="D59" s="38"/>
      <c r="E59" s="38"/>
      <c r="F59" s="38"/>
      <c r="G59" s="38"/>
      <c r="H59" s="346"/>
      <c r="I59" s="295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s="26" customFormat="1" ht="12.75">
      <c r="A60" s="32"/>
      <c r="B60" s="25"/>
      <c r="C60" s="152"/>
      <c r="D60" s="38"/>
      <c r="E60" s="38"/>
      <c r="F60" s="38"/>
      <c r="G60" s="38"/>
      <c r="H60" s="346"/>
      <c r="I60" s="295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2" customFormat="1" ht="12.75">
      <c r="A61" s="31"/>
      <c r="B61" s="3"/>
      <c r="C61" s="145"/>
      <c r="D61" s="157"/>
      <c r="E61" s="157"/>
      <c r="F61" s="157"/>
      <c r="G61" s="157"/>
      <c r="H61" s="343"/>
      <c r="I61" s="29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2:22" ht="12.75">
      <c r="B62" s="54" t="s">
        <v>22</v>
      </c>
      <c r="C62" s="4"/>
      <c r="D62" s="158"/>
      <c r="E62" s="193"/>
      <c r="F62" s="193"/>
      <c r="G62" s="193"/>
      <c r="H62" s="348"/>
      <c r="I62" s="29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2.75">
      <c r="A63" s="17" t="s">
        <v>42</v>
      </c>
      <c r="B63" s="1" t="s">
        <v>87</v>
      </c>
      <c r="C63" s="153">
        <v>250</v>
      </c>
      <c r="D63" s="158">
        <v>45</v>
      </c>
      <c r="E63" s="193">
        <v>25</v>
      </c>
      <c r="F63" s="193">
        <v>25</v>
      </c>
      <c r="G63" s="193">
        <v>25</v>
      </c>
      <c r="H63" s="348">
        <v>130</v>
      </c>
      <c r="I63" s="291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2.75">
      <c r="A64" s="17" t="s">
        <v>42</v>
      </c>
      <c r="B64" s="1" t="s">
        <v>88</v>
      </c>
      <c r="C64" s="153">
        <v>16</v>
      </c>
      <c r="D64" s="158">
        <v>16</v>
      </c>
      <c r="E64" s="194">
        <v>-239</v>
      </c>
      <c r="F64" s="193"/>
      <c r="G64" s="193"/>
      <c r="H64" s="348">
        <v>239</v>
      </c>
      <c r="I64" s="291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2.75">
      <c r="A65" s="17" t="s">
        <v>42</v>
      </c>
      <c r="B65" s="1" t="s">
        <v>25</v>
      </c>
      <c r="C65" s="153">
        <v>35</v>
      </c>
      <c r="D65" s="158">
        <v>35</v>
      </c>
      <c r="E65" s="193"/>
      <c r="F65" s="193"/>
      <c r="G65" s="193"/>
      <c r="H65" s="348"/>
      <c r="I65" s="29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2.75">
      <c r="A66" s="17"/>
      <c r="B66" s="1" t="s">
        <v>114</v>
      </c>
      <c r="C66" s="153"/>
      <c r="D66" s="158"/>
      <c r="E66" s="193">
        <v>0.3</v>
      </c>
      <c r="F66" s="193"/>
      <c r="G66" s="193"/>
      <c r="H66" s="348"/>
      <c r="I66" s="297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3.5" thickBot="1">
      <c r="A67" s="17" t="s">
        <v>42</v>
      </c>
      <c r="B67" s="249" t="s">
        <v>34</v>
      </c>
      <c r="C67" s="154"/>
      <c r="D67" s="158"/>
      <c r="E67" s="193"/>
      <c r="F67" s="193"/>
      <c r="G67" s="193"/>
      <c r="H67" s="348">
        <v>184</v>
      </c>
      <c r="I67" s="297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6.5" thickBot="1">
      <c r="A68" s="17"/>
      <c r="B68" s="260" t="s">
        <v>137</v>
      </c>
      <c r="C68" s="154"/>
      <c r="D68" s="158"/>
      <c r="E68" s="193"/>
      <c r="F68" s="193"/>
      <c r="G68" s="193"/>
      <c r="H68" s="261">
        <v>-107.5</v>
      </c>
      <c r="I68" s="297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267" customFormat="1" ht="16.5" thickBot="1">
      <c r="A69" s="228"/>
      <c r="B69" s="260" t="s">
        <v>138</v>
      </c>
      <c r="C69" s="262"/>
      <c r="D69" s="263"/>
      <c r="E69" s="264"/>
      <c r="F69" s="264"/>
      <c r="G69" s="264"/>
      <c r="H69" s="261">
        <v>-800</v>
      </c>
      <c r="I69" s="354"/>
      <c r="J69" s="266">
        <v>26.1</v>
      </c>
      <c r="K69" s="266"/>
      <c r="L69" s="266">
        <f>(+J56+K56)*0.75</f>
        <v>106.45104140625</v>
      </c>
      <c r="M69" s="266"/>
      <c r="N69" s="266">
        <f>(+L56+M56)*0.75</f>
        <v>87.71613389362793</v>
      </c>
      <c r="O69" s="266"/>
      <c r="P69" s="266">
        <f>(+N56+O56)*0.75</f>
        <v>91.35041744879503</v>
      </c>
      <c r="Q69" s="266">
        <f>(SUM(O56:P56)+(+Q56*0.5))*0.75</f>
        <v>177.08435406958907</v>
      </c>
      <c r="R69" s="266">
        <f>SUM(Q56)*0.75</f>
        <v>174.0320129775146</v>
      </c>
      <c r="S69" s="266">
        <f>SUM(R56)*0.75-39</f>
        <v>144.34944568562918</v>
      </c>
      <c r="T69" s="266">
        <v>0</v>
      </c>
      <c r="U69" s="266">
        <v>0</v>
      </c>
      <c r="V69" s="266">
        <v>0</v>
      </c>
    </row>
    <row r="70" spans="1:22" s="267" customFormat="1" ht="15.75">
      <c r="A70" s="228"/>
      <c r="B70" s="260"/>
      <c r="C70" s="262"/>
      <c r="D70" s="263"/>
      <c r="E70" s="264"/>
      <c r="F70" s="264"/>
      <c r="G70" s="264"/>
      <c r="H70" s="360"/>
      <c r="I70" s="354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</row>
    <row r="71" spans="1:22" ht="12.75">
      <c r="A71" s="17" t="s">
        <v>42</v>
      </c>
      <c r="B71" s="19" t="s">
        <v>14</v>
      </c>
      <c r="C71" s="154">
        <v>1406</v>
      </c>
      <c r="D71" s="158"/>
      <c r="E71" s="193"/>
      <c r="F71" s="193"/>
      <c r="G71" s="193"/>
      <c r="H71" s="348">
        <v>1406</v>
      </c>
      <c r="I71" s="297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2.75">
      <c r="A72" s="17"/>
      <c r="B72" s="7"/>
      <c r="C72" s="154"/>
      <c r="D72" s="158"/>
      <c r="E72" s="193"/>
      <c r="F72" s="193"/>
      <c r="G72" s="193"/>
      <c r="H72" s="348"/>
      <c r="I72" s="297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2:22" ht="12.75">
      <c r="B73" s="19" t="s">
        <v>69</v>
      </c>
      <c r="C73" s="35">
        <v>1707</v>
      </c>
      <c r="D73" s="158"/>
      <c r="E73" s="193"/>
      <c r="F73" s="193"/>
      <c r="G73" s="193"/>
      <c r="H73" s="348"/>
      <c r="I73" s="297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6" customFormat="1" ht="13.5" thickBot="1">
      <c r="A74" s="17" t="s">
        <v>45</v>
      </c>
      <c r="B74" s="16" t="s">
        <v>53</v>
      </c>
      <c r="C74" s="155" t="s">
        <v>51</v>
      </c>
      <c r="D74" s="118">
        <f>-SUM(D61:D73)+D56</f>
        <v>84.15050000000002</v>
      </c>
      <c r="E74" s="244">
        <f>-SUM(E61:E73)+E56</f>
        <v>225.8945</v>
      </c>
      <c r="F74" s="244">
        <f>-SUM(F61:F73)+F56</f>
        <v>65.48999999999998</v>
      </c>
      <c r="G74" s="244">
        <f>-SUM(G61:G73)+G56</f>
        <v>5.389499999999998</v>
      </c>
      <c r="H74" s="337">
        <f>-SUM(H58:H73)+H56</f>
        <v>-274.0919999999999</v>
      </c>
      <c r="I74" s="352">
        <f aca="true" t="shared" si="18" ref="I74:V74">-SUM(I61:I73)+I56</f>
        <v>57.849999999999994</v>
      </c>
      <c r="J74" s="248">
        <f t="shared" si="18"/>
        <v>44.19091250000002</v>
      </c>
      <c r="K74" s="248">
        <f t="shared" si="18"/>
        <v>71.64380937499999</v>
      </c>
      <c r="L74" s="248">
        <f t="shared" si="18"/>
        <v>-41.662902796875</v>
      </c>
      <c r="M74" s="253">
        <f t="shared" si="18"/>
        <v>52.16670658212889</v>
      </c>
      <c r="N74" s="253">
        <f t="shared" si="18"/>
        <v>-28.988514814008795</v>
      </c>
      <c r="O74" s="253">
        <f t="shared" si="18"/>
        <v>63.07293751877424</v>
      </c>
      <c r="P74" s="253">
        <f t="shared" si="18"/>
        <v>-34.332224859793556</v>
      </c>
      <c r="Q74" s="278">
        <f t="shared" si="18"/>
        <v>54.958329900430385</v>
      </c>
      <c r="R74" s="244">
        <f t="shared" si="18"/>
        <v>70.43391460332433</v>
      </c>
      <c r="S74" s="278">
        <f t="shared" si="18"/>
        <v>144.66504324880015</v>
      </c>
      <c r="T74" s="244">
        <f t="shared" si="18"/>
        <v>333.73583118861444</v>
      </c>
      <c r="U74" s="278">
        <f t="shared" si="18"/>
        <v>379.1821355922617</v>
      </c>
      <c r="V74" s="244">
        <f t="shared" si="18"/>
        <v>432.2307954145409</v>
      </c>
    </row>
    <row r="75" spans="3:22" ht="14.25" thickBot="1" thickTop="1">
      <c r="C75" s="4"/>
      <c r="D75" s="158"/>
      <c r="E75" s="193"/>
      <c r="F75" s="193"/>
      <c r="G75" s="193"/>
      <c r="H75" s="348"/>
      <c r="I75" s="297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76" customFormat="1" ht="13.5" thickBot="1">
      <c r="A76" s="32" t="s">
        <v>52</v>
      </c>
      <c r="B76" s="176" t="s">
        <v>168</v>
      </c>
      <c r="C76" s="216"/>
      <c r="D76" s="215">
        <f>+D74</f>
        <v>84.15050000000002</v>
      </c>
      <c r="E76" s="215">
        <f>+D76+E74</f>
        <v>310.045</v>
      </c>
      <c r="F76" s="215">
        <f aca="true" t="shared" si="19" ref="F76:R76">+E76+F74</f>
        <v>375.53499999999997</v>
      </c>
      <c r="G76" s="215">
        <f t="shared" si="19"/>
        <v>380.92449999999997</v>
      </c>
      <c r="H76" s="338">
        <f t="shared" si="19"/>
        <v>106.83250000000004</v>
      </c>
      <c r="I76" s="298">
        <f t="shared" si="19"/>
        <v>164.68250000000003</v>
      </c>
      <c r="J76" s="217">
        <f t="shared" si="19"/>
        <v>208.87341250000006</v>
      </c>
      <c r="K76" s="217">
        <f t="shared" si="19"/>
        <v>280.517221875</v>
      </c>
      <c r="L76" s="215">
        <f t="shared" si="19"/>
        <v>238.854319078125</v>
      </c>
      <c r="M76" s="215">
        <f t="shared" si="19"/>
        <v>291.0210256602539</v>
      </c>
      <c r="N76" s="215">
        <f t="shared" si="19"/>
        <v>262.0325108462451</v>
      </c>
      <c r="O76" s="215">
        <f t="shared" si="19"/>
        <v>325.10544836501936</v>
      </c>
      <c r="P76" s="215">
        <f t="shared" si="19"/>
        <v>290.7732235052258</v>
      </c>
      <c r="Q76" s="215">
        <f t="shared" si="19"/>
        <v>345.7315534056562</v>
      </c>
      <c r="R76" s="247">
        <f t="shared" si="19"/>
        <v>416.1654680089805</v>
      </c>
      <c r="S76" s="215">
        <f>+R76+S74</f>
        <v>560.8305112577807</v>
      </c>
      <c r="T76" s="215">
        <f>+S76+T74</f>
        <v>894.5663424463951</v>
      </c>
      <c r="U76" s="215">
        <f>+T76+U74</f>
        <v>1273.7484780386567</v>
      </c>
      <c r="V76" s="215">
        <f>+U76+V74</f>
        <v>1705.9792734531975</v>
      </c>
    </row>
    <row r="77" spans="1:22" s="176" customFormat="1" ht="12.75">
      <c r="A77" s="32"/>
      <c r="C77" s="216"/>
      <c r="D77" s="215"/>
      <c r="E77" s="215"/>
      <c r="F77" s="215"/>
      <c r="G77" s="215"/>
      <c r="H77" s="338"/>
      <c r="I77" s="298"/>
      <c r="J77" s="217"/>
      <c r="K77" s="217"/>
      <c r="L77" s="215"/>
      <c r="M77" s="217"/>
      <c r="N77" s="215"/>
      <c r="O77" s="217"/>
      <c r="P77" s="217"/>
      <c r="Q77" s="217"/>
      <c r="R77" s="215"/>
      <c r="S77" s="215"/>
      <c r="T77" s="215"/>
      <c r="U77" s="215"/>
      <c r="V77" s="215"/>
    </row>
    <row r="78" spans="1:22" s="220" customFormat="1" ht="15.75">
      <c r="A78" s="221"/>
      <c r="B78" s="223" t="s">
        <v>128</v>
      </c>
      <c r="C78" s="224"/>
      <c r="D78" s="224">
        <f aca="true" t="shared" si="20" ref="D78:V78">-SUM(D62:D72)</f>
        <v>-96</v>
      </c>
      <c r="E78" s="224">
        <f t="shared" si="20"/>
        <v>213.7</v>
      </c>
      <c r="F78" s="224">
        <f t="shared" si="20"/>
        <v>-25</v>
      </c>
      <c r="G78" s="224">
        <f t="shared" si="20"/>
        <v>-25</v>
      </c>
      <c r="H78" s="339">
        <f t="shared" si="20"/>
        <v>-1051.5</v>
      </c>
      <c r="I78" s="300">
        <f t="shared" si="20"/>
        <v>0</v>
      </c>
      <c r="J78" s="224">
        <f t="shared" si="20"/>
        <v>-26.1</v>
      </c>
      <c r="K78" s="224">
        <f t="shared" si="20"/>
        <v>0</v>
      </c>
      <c r="L78" s="224">
        <f t="shared" si="20"/>
        <v>-106.45104140625</v>
      </c>
      <c r="M78" s="224">
        <f t="shared" si="20"/>
        <v>0</v>
      </c>
      <c r="N78" s="224">
        <f t="shared" si="20"/>
        <v>-87.71613389362793</v>
      </c>
      <c r="O78" s="224">
        <f t="shared" si="20"/>
        <v>0</v>
      </c>
      <c r="P78" s="224">
        <f t="shared" si="20"/>
        <v>-91.35041744879503</v>
      </c>
      <c r="Q78" s="224">
        <f t="shared" si="20"/>
        <v>-177.08435406958907</v>
      </c>
      <c r="R78" s="224">
        <f t="shared" si="20"/>
        <v>-174.0320129775146</v>
      </c>
      <c r="S78" s="224">
        <f t="shared" si="20"/>
        <v>-144.34944568562918</v>
      </c>
      <c r="T78" s="224">
        <f t="shared" si="20"/>
        <v>0</v>
      </c>
      <c r="U78" s="224">
        <f t="shared" si="20"/>
        <v>0</v>
      </c>
      <c r="V78" s="225">
        <f t="shared" si="20"/>
        <v>0</v>
      </c>
    </row>
    <row r="79" spans="1:22" s="232" customFormat="1" ht="16.5" thickBot="1">
      <c r="A79" s="228"/>
      <c r="B79" s="223" t="s">
        <v>127</v>
      </c>
      <c r="C79" s="224">
        <v>1891</v>
      </c>
      <c r="D79" s="224">
        <f>+C79+D78</f>
        <v>1795</v>
      </c>
      <c r="E79" s="224">
        <f aca="true" t="shared" si="21" ref="E79:V79">+D79+E78</f>
        <v>2008.7</v>
      </c>
      <c r="F79" s="224">
        <f t="shared" si="21"/>
        <v>1983.7</v>
      </c>
      <c r="G79" s="224">
        <f t="shared" si="21"/>
        <v>1958.7</v>
      </c>
      <c r="H79" s="339">
        <f t="shared" si="21"/>
        <v>907.2</v>
      </c>
      <c r="I79" s="301">
        <f t="shared" si="21"/>
        <v>907.2</v>
      </c>
      <c r="J79" s="224">
        <f t="shared" si="21"/>
        <v>881.1</v>
      </c>
      <c r="K79" s="224">
        <f t="shared" si="21"/>
        <v>881.1</v>
      </c>
      <c r="L79" s="224">
        <f t="shared" si="21"/>
        <v>774.64895859375</v>
      </c>
      <c r="M79" s="224">
        <f t="shared" si="21"/>
        <v>774.64895859375</v>
      </c>
      <c r="N79" s="224">
        <f t="shared" si="21"/>
        <v>686.9328247001221</v>
      </c>
      <c r="O79" s="224">
        <f t="shared" si="21"/>
        <v>686.9328247001221</v>
      </c>
      <c r="P79" s="224">
        <f t="shared" si="21"/>
        <v>595.582407251327</v>
      </c>
      <c r="Q79" s="224">
        <f t="shared" si="21"/>
        <v>418.498053181738</v>
      </c>
      <c r="R79" s="224">
        <f t="shared" si="21"/>
        <v>244.4660402042234</v>
      </c>
      <c r="S79" s="224">
        <f t="shared" si="21"/>
        <v>100.11659451859421</v>
      </c>
      <c r="T79" s="224">
        <f t="shared" si="21"/>
        <v>100.11659451859421</v>
      </c>
      <c r="U79" s="224">
        <f t="shared" si="21"/>
        <v>100.11659451859421</v>
      </c>
      <c r="V79" s="225">
        <f t="shared" si="21"/>
        <v>100.11659451859421</v>
      </c>
    </row>
    <row r="80" spans="2:14" s="356" customFormat="1" ht="15.75">
      <c r="B80" s="356" t="s">
        <v>163</v>
      </c>
      <c r="D80" s="355"/>
      <c r="H80" s="358">
        <v>1.4</v>
      </c>
      <c r="I80" s="359">
        <v>1.3</v>
      </c>
      <c r="L80" s="355"/>
      <c r="N80" s="355"/>
    </row>
    <row r="81" spans="2:8" ht="15.75">
      <c r="B81" s="268" t="s">
        <v>50</v>
      </c>
      <c r="H81" s="4"/>
    </row>
    <row r="82" ht="15.75">
      <c r="B82" s="268"/>
    </row>
    <row r="83" ht="15.75">
      <c r="B83" s="268"/>
    </row>
    <row r="84" ht="12.75"/>
    <row r="85" spans="1:22" s="281" customFormat="1" ht="15.75">
      <c r="A85" s="280"/>
      <c r="B85" s="281" t="s">
        <v>146</v>
      </c>
      <c r="D85" s="232">
        <v>27.995</v>
      </c>
      <c r="E85" s="232">
        <f>+D85</f>
        <v>27.995</v>
      </c>
      <c r="F85" s="232">
        <f>+E85</f>
        <v>27.995</v>
      </c>
      <c r="G85" s="232">
        <f>+F85</f>
        <v>27.995</v>
      </c>
      <c r="H85" s="232">
        <v>27.995</v>
      </c>
      <c r="I85" s="232">
        <v>27.995</v>
      </c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</row>
    <row r="86" s="281" customFormat="1" ht="15">
      <c r="A86" s="280"/>
    </row>
    <row r="87" spans="1:22" s="281" customFormat="1" ht="15.75" thickBot="1">
      <c r="A87" s="280"/>
      <c r="B87" s="281" t="s">
        <v>147</v>
      </c>
      <c r="E87" s="282">
        <v>-2869.3</v>
      </c>
      <c r="F87" s="282">
        <v>67.7</v>
      </c>
      <c r="G87" s="282">
        <v>24</v>
      </c>
      <c r="H87" s="282">
        <v>823.5</v>
      </c>
      <c r="I87" s="282">
        <v>53.5</v>
      </c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</row>
    <row r="88" spans="1:22" s="281" customFormat="1" ht="15">
      <c r="A88" s="280"/>
      <c r="B88" s="317" t="s">
        <v>150</v>
      </c>
      <c r="C88" s="318"/>
      <c r="D88" s="318"/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20"/>
    </row>
    <row r="89" spans="1:22" s="281" customFormat="1" ht="15">
      <c r="A89" s="280"/>
      <c r="B89" s="321" t="s">
        <v>161</v>
      </c>
      <c r="C89" s="322"/>
      <c r="D89" s="322"/>
      <c r="E89" s="323">
        <f>146-30</f>
        <v>116</v>
      </c>
      <c r="F89" s="323">
        <f>145.2-24.2</f>
        <v>120.99999999999999</v>
      </c>
      <c r="G89" s="323">
        <f>137.775-26.6</f>
        <v>111.17500000000001</v>
      </c>
      <c r="H89" s="323">
        <f>141.56-23.4</f>
        <v>118.16</v>
      </c>
      <c r="I89" s="323">
        <v>101.8</v>
      </c>
      <c r="J89" s="323"/>
      <c r="K89" s="323"/>
      <c r="L89" s="324"/>
      <c r="M89" s="323"/>
      <c r="N89" s="323"/>
      <c r="O89" s="323"/>
      <c r="P89" s="323"/>
      <c r="Q89" s="323"/>
      <c r="R89" s="323"/>
      <c r="S89" s="323"/>
      <c r="T89" s="323"/>
      <c r="U89" s="323"/>
      <c r="V89" s="325"/>
    </row>
    <row r="90" spans="1:22" s="281" customFormat="1" ht="15">
      <c r="A90" s="280"/>
      <c r="B90" s="321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6"/>
    </row>
    <row r="91" spans="1:22" s="285" customFormat="1" ht="16.5" thickBot="1">
      <c r="A91" s="284"/>
      <c r="B91" s="327" t="s">
        <v>148</v>
      </c>
      <c r="C91" s="328"/>
      <c r="D91" s="328"/>
      <c r="E91" s="328"/>
      <c r="F91" s="329">
        <f>+(F89*4)/F$85</f>
        <v>17.288801571709232</v>
      </c>
      <c r="G91" s="329">
        <f>+(G89*4)/G$85</f>
        <v>15.884979460617968</v>
      </c>
      <c r="H91" s="329">
        <f>+(H89*4)/H$85</f>
        <v>16.883014824075726</v>
      </c>
      <c r="I91" s="329">
        <f>+(I89*4)/I$85</f>
        <v>14.545454545454545</v>
      </c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30"/>
    </row>
    <row r="92" s="281" customFormat="1" ht="15">
      <c r="A92" s="280"/>
    </row>
    <row r="93" spans="1:9" s="285" customFormat="1" ht="15.75">
      <c r="A93" s="284"/>
      <c r="B93" s="285" t="s">
        <v>149</v>
      </c>
      <c r="E93" s="286">
        <f>+E23/E$85*4</f>
        <v>20.860868012145026</v>
      </c>
      <c r="F93" s="286">
        <f>+F23/F$85*4</f>
        <v>20.74656188605108</v>
      </c>
      <c r="G93" s="286">
        <f>+G23/G$85*4</f>
        <v>19.689230219682088</v>
      </c>
      <c r="H93" s="286">
        <f>+H23/H$85*4</f>
        <v>20.225040185747456</v>
      </c>
      <c r="I93" s="286">
        <f>+I23/I$85*4</f>
        <v>16.50294695481336</v>
      </c>
    </row>
    <row r="94" spans="1:9" s="285" customFormat="1" ht="15.75">
      <c r="A94" s="284"/>
      <c r="E94" s="286"/>
      <c r="F94" s="286"/>
      <c r="G94" s="286"/>
      <c r="H94" s="286"/>
      <c r="I94" s="286"/>
    </row>
    <row r="95" spans="1:9" s="285" customFormat="1" ht="15.75">
      <c r="A95" s="284"/>
      <c r="B95" s="285" t="s">
        <v>166</v>
      </c>
      <c r="E95" s="286"/>
      <c r="F95" s="286"/>
      <c r="G95" s="286"/>
      <c r="H95" s="286"/>
      <c r="I95" s="286">
        <v>11.79</v>
      </c>
    </row>
    <row r="96" spans="1:9" s="285" customFormat="1" ht="15.75">
      <c r="A96" s="284"/>
      <c r="B96" s="285" t="s">
        <v>167</v>
      </c>
      <c r="E96" s="286"/>
      <c r="F96" s="286"/>
      <c r="G96" s="286"/>
      <c r="H96" s="286"/>
      <c r="I96" s="357">
        <f>+I95/I91</f>
        <v>0.8105625</v>
      </c>
    </row>
    <row r="98" spans="1:22" s="96" customFormat="1" ht="15.75">
      <c r="A98" s="302"/>
      <c r="B98" s="303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5"/>
    </row>
    <row r="99" spans="1:22" s="96" customFormat="1" ht="15.75">
      <c r="A99" s="302"/>
      <c r="B99" s="306" t="s">
        <v>152</v>
      </c>
      <c r="C99" s="307"/>
      <c r="D99" s="307"/>
      <c r="E99" s="307"/>
      <c r="F99" s="307"/>
      <c r="G99" s="307"/>
      <c r="H99" s="308">
        <v>61.75</v>
      </c>
      <c r="I99" s="308">
        <v>86.6</v>
      </c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9"/>
    </row>
    <row r="100" spans="1:22" s="96" customFormat="1" ht="15.75">
      <c r="A100" s="302"/>
      <c r="B100" s="306" t="s">
        <v>153</v>
      </c>
      <c r="C100" s="307"/>
      <c r="D100" s="307"/>
      <c r="E100" s="307"/>
      <c r="F100" s="307"/>
      <c r="G100" s="307"/>
      <c r="H100" s="308">
        <v>47.98</v>
      </c>
      <c r="I100" s="308">
        <v>67.7</v>
      </c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  <c r="V100" s="309"/>
    </row>
    <row r="101" spans="1:22" s="96" customFormat="1" ht="15.75">
      <c r="A101" s="302"/>
      <c r="B101" s="306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9"/>
    </row>
    <row r="102" spans="1:22" s="96" customFormat="1" ht="15.75">
      <c r="A102" s="302"/>
      <c r="B102" s="306" t="s">
        <v>154</v>
      </c>
      <c r="C102" s="307"/>
      <c r="D102" s="307"/>
      <c r="E102" s="307"/>
      <c r="F102" s="307"/>
      <c r="G102" s="307"/>
      <c r="H102" s="310">
        <f>+H99/$H$85</f>
        <v>2.2057510269691014</v>
      </c>
      <c r="I102" s="310">
        <f>+I99/$H$85</f>
        <v>3.0934095374173958</v>
      </c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9"/>
    </row>
    <row r="103" spans="1:22" s="96" customFormat="1" ht="15.75">
      <c r="A103" s="302"/>
      <c r="B103" s="306" t="s">
        <v>155</v>
      </c>
      <c r="C103" s="307"/>
      <c r="D103" s="307"/>
      <c r="E103" s="307"/>
      <c r="F103" s="307"/>
      <c r="G103" s="307"/>
      <c r="H103" s="310">
        <f>+H$100/H$85</f>
        <v>1.7138774781210928</v>
      </c>
      <c r="I103" s="310">
        <f>+I$100/H$85</f>
        <v>2.4182889801750314</v>
      </c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9"/>
    </row>
    <row r="104" spans="1:22" s="96" customFormat="1" ht="15.75">
      <c r="A104" s="302"/>
      <c r="B104" s="311" t="s">
        <v>162</v>
      </c>
      <c r="C104" s="312"/>
      <c r="D104" s="312"/>
      <c r="E104" s="312"/>
      <c r="F104" s="312"/>
      <c r="G104" s="312"/>
      <c r="H104" s="313">
        <f>+H103*4</f>
        <v>6.855509912484371</v>
      </c>
      <c r="I104" s="313">
        <f>+I103*4</f>
        <v>9.673155920700125</v>
      </c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4"/>
    </row>
    <row r="105" s="16" customFormat="1" ht="12.75">
      <c r="A105" s="17"/>
    </row>
    <row r="106" ht="20.25">
      <c r="B106" s="316" t="s">
        <v>156</v>
      </c>
    </row>
    <row r="107" ht="20.25">
      <c r="B107" s="315" t="s">
        <v>158</v>
      </c>
    </row>
    <row r="108" ht="20.25">
      <c r="B108" s="315" t="s">
        <v>159</v>
      </c>
    </row>
    <row r="109" ht="20.25">
      <c r="B109" s="315" t="s">
        <v>157</v>
      </c>
    </row>
  </sheetData>
  <sheetProtection/>
  <printOptions/>
  <pageMargins left="0.75" right="0.75" top="1" bottom="1" header="0.5" footer="0.5"/>
  <pageSetup orientation="portrait" paperSize="9" r:id="rId3"/>
  <ignoredErrors>
    <ignoredError sqref="Q5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0"/>
  <sheetViews>
    <sheetView zoomScalePageLayoutView="0" workbookViewId="0" topLeftCell="A4">
      <selection activeCell="F27" sqref="F27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</cols>
  <sheetData>
    <row r="1" spans="2:12" ht="32.25" thickBot="1">
      <c r="B1" s="113" t="s">
        <v>151</v>
      </c>
      <c r="G1" s="98"/>
      <c r="H1" s="65"/>
      <c r="I1" s="64"/>
      <c r="J1" s="65" t="s">
        <v>108</v>
      </c>
      <c r="K1" s="64"/>
      <c r="L1" s="64"/>
    </row>
    <row r="2" spans="1:13" s="98" customFormat="1" ht="36" customHeight="1" thickBot="1">
      <c r="A2" s="31"/>
      <c r="B2" s="97"/>
      <c r="G2" s="269"/>
      <c r="H2" s="270"/>
      <c r="I2" s="271"/>
      <c r="J2" s="272" t="s">
        <v>160</v>
      </c>
      <c r="K2" s="271"/>
      <c r="L2" s="271"/>
      <c r="M2" s="273"/>
    </row>
    <row r="3" spans="2:6" ht="20.25">
      <c r="B3" s="114" t="s">
        <v>110</v>
      </c>
      <c r="C3" s="95"/>
      <c r="D3" s="185"/>
      <c r="E3" s="104"/>
      <c r="F3" s="96"/>
    </row>
    <row r="4" spans="1:22" s="19" customFormat="1" ht="16.5" thickBot="1">
      <c r="A4" s="17"/>
      <c r="C4" s="144"/>
      <c r="D4" s="175" t="s">
        <v>20</v>
      </c>
      <c r="E4" s="160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74">
        <v>2015</v>
      </c>
      <c r="R4" s="279">
        <v>2016</v>
      </c>
      <c r="S4" s="274">
        <v>2017</v>
      </c>
      <c r="T4" s="279">
        <v>2018</v>
      </c>
      <c r="U4" s="274">
        <v>2019</v>
      </c>
      <c r="V4" s="279">
        <v>2020</v>
      </c>
    </row>
    <row r="5" spans="2:22" s="129" customFormat="1" ht="17.25" thickBot="1">
      <c r="B5" s="136" t="s">
        <v>105</v>
      </c>
      <c r="C5" s="137"/>
      <c r="D5" s="137"/>
      <c r="E5" s="138"/>
      <c r="F5" s="138"/>
      <c r="G5" s="138"/>
      <c r="H5" s="179"/>
      <c r="I5" s="138">
        <v>0.0225</v>
      </c>
      <c r="J5" s="138">
        <f aca="true" t="shared" si="0" ref="J5:O6">+I5</f>
        <v>0.0225</v>
      </c>
      <c r="K5" s="138">
        <f t="shared" si="0"/>
        <v>0.0225</v>
      </c>
      <c r="L5" s="139">
        <f t="shared" si="0"/>
        <v>0.0225</v>
      </c>
      <c r="M5" s="181">
        <f t="shared" si="0"/>
        <v>0.0225</v>
      </c>
      <c r="N5" s="138">
        <f t="shared" si="0"/>
        <v>0.0225</v>
      </c>
      <c r="O5" s="138">
        <f t="shared" si="0"/>
        <v>0.0225</v>
      </c>
      <c r="P5" s="139">
        <f>+O5</f>
        <v>0.0225</v>
      </c>
      <c r="Q5" s="179">
        <v>0.15</v>
      </c>
      <c r="R5" s="179">
        <v>0.15</v>
      </c>
      <c r="S5" s="139">
        <v>0.15</v>
      </c>
      <c r="T5" s="139">
        <v>0.15</v>
      </c>
      <c r="U5" s="139">
        <v>0.15</v>
      </c>
      <c r="V5" s="139">
        <v>0.15</v>
      </c>
    </row>
    <row r="6" spans="2:22" s="129" customFormat="1" ht="17.25" thickBot="1">
      <c r="B6" s="130" t="s">
        <v>106</v>
      </c>
      <c r="C6" s="131"/>
      <c r="D6" s="131"/>
      <c r="E6" s="138"/>
      <c r="F6" s="132"/>
      <c r="G6" s="132"/>
      <c r="H6" s="180"/>
      <c r="I6" s="182">
        <v>-0.044</v>
      </c>
      <c r="J6" s="132">
        <f t="shared" si="0"/>
        <v>-0.044</v>
      </c>
      <c r="K6" s="132">
        <f t="shared" si="0"/>
        <v>-0.044</v>
      </c>
      <c r="L6" s="133">
        <f t="shared" si="0"/>
        <v>-0.044</v>
      </c>
      <c r="M6" s="182">
        <f t="shared" si="0"/>
        <v>-0.044</v>
      </c>
      <c r="N6" s="132">
        <f t="shared" si="0"/>
        <v>-0.044</v>
      </c>
      <c r="O6" s="132">
        <f t="shared" si="0"/>
        <v>-0.044</v>
      </c>
      <c r="P6" s="133">
        <f>+O6</f>
        <v>-0.044</v>
      </c>
      <c r="Q6" s="180">
        <v>-0.15</v>
      </c>
      <c r="R6" s="180">
        <v>-0.15</v>
      </c>
      <c r="S6" s="133">
        <v>-0.1</v>
      </c>
      <c r="T6" s="133">
        <v>-0.05</v>
      </c>
      <c r="U6" s="133">
        <v>0</v>
      </c>
      <c r="V6" s="133">
        <v>0</v>
      </c>
    </row>
    <row r="7" spans="2:8" ht="20.25">
      <c r="B7" s="94"/>
      <c r="C7" s="95"/>
      <c r="D7" s="95"/>
      <c r="E7" s="104"/>
      <c r="F7" s="238"/>
      <c r="G7" s="287"/>
      <c r="H7" s="288"/>
    </row>
    <row r="8" spans="1:8" s="16" customFormat="1" ht="15.75">
      <c r="A8" s="17"/>
      <c r="D8" s="155"/>
      <c r="E8" s="189"/>
      <c r="F8" s="189"/>
      <c r="G8" s="189"/>
      <c r="H8" s="289" t="s">
        <v>56</v>
      </c>
    </row>
    <row r="9" spans="1:22" s="19" customFormat="1" ht="12.75">
      <c r="A9" s="17"/>
      <c r="C9" s="144" t="s">
        <v>36</v>
      </c>
      <c r="D9" s="175" t="s">
        <v>20</v>
      </c>
      <c r="E9" s="239" t="s">
        <v>1</v>
      </c>
      <c r="F9" s="239" t="s">
        <v>2</v>
      </c>
      <c r="G9" s="239" t="s">
        <v>3</v>
      </c>
      <c r="H9" s="200" t="s">
        <v>4</v>
      </c>
      <c r="I9" s="21" t="s">
        <v>5</v>
      </c>
      <c r="J9" s="21" t="s">
        <v>6</v>
      </c>
      <c r="K9" s="21" t="s">
        <v>7</v>
      </c>
      <c r="L9" s="21" t="s">
        <v>8</v>
      </c>
      <c r="M9" s="22" t="s">
        <v>9</v>
      </c>
      <c r="N9" s="22" t="s">
        <v>10</v>
      </c>
      <c r="O9" s="22" t="s">
        <v>11</v>
      </c>
      <c r="P9" s="22" t="s">
        <v>12</v>
      </c>
      <c r="Q9" s="331">
        <v>2015</v>
      </c>
      <c r="R9" s="115">
        <v>2016</v>
      </c>
      <c r="S9" s="331">
        <v>2017</v>
      </c>
      <c r="T9" s="115">
        <v>2018</v>
      </c>
      <c r="U9" s="331">
        <v>2019</v>
      </c>
      <c r="V9" s="115">
        <v>2020</v>
      </c>
    </row>
    <row r="10" spans="1:8" s="2" customFormat="1" ht="12.75">
      <c r="A10" s="31"/>
      <c r="B10" s="53" t="s">
        <v>57</v>
      </c>
      <c r="C10" s="145"/>
      <c r="D10" s="149"/>
      <c r="E10" s="149"/>
      <c r="F10" s="149"/>
      <c r="G10" s="149"/>
      <c r="H10" s="290"/>
    </row>
    <row r="11" spans="1:8" s="2" customFormat="1" ht="12.75">
      <c r="A11" s="31"/>
      <c r="B11" s="103"/>
      <c r="C11" s="145"/>
      <c r="D11" s="149"/>
      <c r="E11" s="149"/>
      <c r="F11" s="149"/>
      <c r="G11" s="149"/>
      <c r="H11" s="290"/>
    </row>
    <row r="12" spans="1:22" s="2" customFormat="1" ht="12.75">
      <c r="A12" s="31"/>
      <c r="B12" s="72" t="s">
        <v>73</v>
      </c>
      <c r="C12" s="145"/>
      <c r="D12" s="157">
        <v>90</v>
      </c>
      <c r="E12" s="157">
        <v>85.9</v>
      </c>
      <c r="F12" s="157">
        <v>89.7</v>
      </c>
      <c r="G12" s="157">
        <v>92</v>
      </c>
      <c r="H12" s="291">
        <v>99.7</v>
      </c>
      <c r="I12" s="12">
        <f aca="true" t="shared" si="1" ref="I12:P12">+H12*(1+I13)</f>
        <v>101.94325</v>
      </c>
      <c r="J12" s="12">
        <f t="shared" si="1"/>
        <v>104.236973125</v>
      </c>
      <c r="K12" s="12">
        <f t="shared" si="1"/>
        <v>106.5823050203125</v>
      </c>
      <c r="L12" s="12">
        <f t="shared" si="1"/>
        <v>108.98040688326954</v>
      </c>
      <c r="M12" s="12">
        <f t="shared" si="1"/>
        <v>111.4324660381431</v>
      </c>
      <c r="N12" s="12">
        <f t="shared" si="1"/>
        <v>113.93969652400132</v>
      </c>
      <c r="O12" s="12">
        <f t="shared" si="1"/>
        <v>116.50333969579134</v>
      </c>
      <c r="P12" s="12">
        <f t="shared" si="1"/>
        <v>119.12466483894664</v>
      </c>
      <c r="Q12" s="12">
        <f>+P12*4</f>
        <v>476.4986593557866</v>
      </c>
      <c r="R12" s="12">
        <f>+Q12*(1+R13)</f>
        <v>547.9734582591545</v>
      </c>
      <c r="S12" s="12">
        <f>+R12*(1+S13)</f>
        <v>630.1694769980277</v>
      </c>
      <c r="T12" s="12">
        <f>+S12*(1+T13)</f>
        <v>724.6948985477318</v>
      </c>
      <c r="U12" s="12">
        <f>+T12*(1+U13)</f>
        <v>833.3991333298915</v>
      </c>
      <c r="V12" s="12">
        <f>+U12*(1+V13)</f>
        <v>958.4090033293751</v>
      </c>
    </row>
    <row r="13" spans="1:22" s="2" customFormat="1" ht="12.75">
      <c r="A13" s="31"/>
      <c r="B13" s="73" t="s">
        <v>76</v>
      </c>
      <c r="C13" s="146"/>
      <c r="D13" s="146"/>
      <c r="E13" s="190"/>
      <c r="F13" s="190"/>
      <c r="G13" s="190"/>
      <c r="H13" s="292"/>
      <c r="I13" s="77">
        <f aca="true" t="shared" si="2" ref="I13:R13">+I5</f>
        <v>0.0225</v>
      </c>
      <c r="J13" s="77">
        <f t="shared" si="2"/>
        <v>0.0225</v>
      </c>
      <c r="K13" s="77">
        <f t="shared" si="2"/>
        <v>0.0225</v>
      </c>
      <c r="L13" s="77">
        <f t="shared" si="2"/>
        <v>0.0225</v>
      </c>
      <c r="M13" s="77">
        <f t="shared" si="2"/>
        <v>0.0225</v>
      </c>
      <c r="N13" s="77">
        <f t="shared" si="2"/>
        <v>0.0225</v>
      </c>
      <c r="O13" s="77">
        <f t="shared" si="2"/>
        <v>0.0225</v>
      </c>
      <c r="P13" s="77">
        <f t="shared" si="2"/>
        <v>0.0225</v>
      </c>
      <c r="Q13" s="77">
        <f t="shared" si="2"/>
        <v>0.15</v>
      </c>
      <c r="R13" s="77">
        <f t="shared" si="2"/>
        <v>0.15</v>
      </c>
      <c r="S13" s="77">
        <f>+S5</f>
        <v>0.15</v>
      </c>
      <c r="T13" s="77">
        <f>+T5</f>
        <v>0.15</v>
      </c>
      <c r="U13" s="77">
        <f>+U5</f>
        <v>0.15</v>
      </c>
      <c r="V13" s="77">
        <f>+V5</f>
        <v>0.15</v>
      </c>
    </row>
    <row r="14" spans="1:22" s="111" customFormat="1" ht="12.75">
      <c r="A14" s="109"/>
      <c r="B14" s="110" t="s">
        <v>122</v>
      </c>
      <c r="C14" s="107"/>
      <c r="D14" s="107">
        <v>0.394</v>
      </c>
      <c r="E14" s="107">
        <v>0.4</v>
      </c>
      <c r="F14" s="107">
        <f aca="true" t="shared" si="3" ref="F14:R14">+E14</f>
        <v>0.4</v>
      </c>
      <c r="G14" s="107">
        <v>0.43</v>
      </c>
      <c r="H14" s="293">
        <v>0.495</v>
      </c>
      <c r="I14" s="111">
        <f t="shared" si="3"/>
        <v>0.495</v>
      </c>
      <c r="J14" s="111">
        <f t="shared" si="3"/>
        <v>0.495</v>
      </c>
      <c r="K14" s="111">
        <f t="shared" si="3"/>
        <v>0.495</v>
      </c>
      <c r="L14" s="111">
        <f t="shared" si="3"/>
        <v>0.495</v>
      </c>
      <c r="M14" s="111">
        <f t="shared" si="3"/>
        <v>0.495</v>
      </c>
      <c r="N14" s="111">
        <f t="shared" si="3"/>
        <v>0.495</v>
      </c>
      <c r="O14" s="111">
        <f t="shared" si="3"/>
        <v>0.495</v>
      </c>
      <c r="P14" s="111">
        <f t="shared" si="3"/>
        <v>0.495</v>
      </c>
      <c r="Q14" s="111">
        <f t="shared" si="3"/>
        <v>0.495</v>
      </c>
      <c r="R14" s="111">
        <f t="shared" si="3"/>
        <v>0.495</v>
      </c>
      <c r="S14" s="111">
        <f>+R14</f>
        <v>0.495</v>
      </c>
      <c r="T14" s="111">
        <f>+S14</f>
        <v>0.495</v>
      </c>
      <c r="U14" s="111">
        <f>+T14</f>
        <v>0.495</v>
      </c>
      <c r="V14" s="111">
        <f>+U14</f>
        <v>0.495</v>
      </c>
    </row>
    <row r="15" spans="1:22" s="2" customFormat="1" ht="12.75">
      <c r="A15" s="31"/>
      <c r="B15" s="26" t="s">
        <v>75</v>
      </c>
      <c r="C15" s="145"/>
      <c r="D15" s="80">
        <f>+D12*D14</f>
        <v>35.46</v>
      </c>
      <c r="E15" s="80">
        <f>+E12*E14</f>
        <v>34.36000000000001</v>
      </c>
      <c r="F15" s="80">
        <f aca="true" t="shared" si="4" ref="F15:R15">+F12*F14</f>
        <v>35.88</v>
      </c>
      <c r="G15" s="80">
        <f t="shared" si="4"/>
        <v>39.56</v>
      </c>
      <c r="H15" s="205">
        <f t="shared" si="4"/>
        <v>49.3515</v>
      </c>
      <c r="I15" s="80">
        <f t="shared" si="4"/>
        <v>50.46190875</v>
      </c>
      <c r="J15" s="80">
        <f t="shared" si="4"/>
        <v>51.597301696875</v>
      </c>
      <c r="K15" s="80">
        <f t="shared" si="4"/>
        <v>52.75824098505469</v>
      </c>
      <c r="L15" s="80">
        <f t="shared" si="4"/>
        <v>53.94530140721842</v>
      </c>
      <c r="M15" s="80">
        <f t="shared" si="4"/>
        <v>55.15907068888084</v>
      </c>
      <c r="N15" s="80">
        <f t="shared" si="4"/>
        <v>56.400149779380655</v>
      </c>
      <c r="O15" s="80">
        <f t="shared" si="4"/>
        <v>57.669153149416715</v>
      </c>
      <c r="P15" s="80">
        <f t="shared" si="4"/>
        <v>58.96670909527859</v>
      </c>
      <c r="Q15" s="80">
        <f t="shared" si="4"/>
        <v>235.86683638111435</v>
      </c>
      <c r="R15" s="80">
        <f t="shared" si="4"/>
        <v>271.2468618382815</v>
      </c>
      <c r="S15" s="80">
        <f>+S12*S14</f>
        <v>311.9338911140237</v>
      </c>
      <c r="T15" s="80">
        <f>+T12*T14</f>
        <v>358.72397478112725</v>
      </c>
      <c r="U15" s="80">
        <f>+U12*U14</f>
        <v>412.53257099829625</v>
      </c>
      <c r="V15" s="80">
        <f>+V12*V14</f>
        <v>474.4124566480407</v>
      </c>
    </row>
    <row r="16" spans="1:22" s="2" customFormat="1" ht="12.75">
      <c r="A16" s="31"/>
      <c r="B16" s="72"/>
      <c r="C16" s="145"/>
      <c r="D16" s="157"/>
      <c r="E16" s="157"/>
      <c r="F16" s="157"/>
      <c r="G16" s="157"/>
      <c r="H16" s="29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2" customFormat="1" ht="12.75">
      <c r="A17" s="31"/>
      <c r="B17" s="72" t="s">
        <v>74</v>
      </c>
      <c r="C17" s="145"/>
      <c r="D17" s="157">
        <v>223.3</v>
      </c>
      <c r="E17" s="157">
        <f>+E22-E12</f>
        <v>203.20000000000002</v>
      </c>
      <c r="F17" s="157">
        <f>+F22-F12</f>
        <v>196.8</v>
      </c>
      <c r="G17" s="157">
        <f>+G22-G12</f>
        <v>175.7</v>
      </c>
      <c r="H17" s="291">
        <f>+H22-H12</f>
        <v>164.7</v>
      </c>
      <c r="I17" s="12">
        <f aca="true" t="shared" si="5" ref="I17:R17">+H17*(1+I18)</f>
        <v>157.45319999999998</v>
      </c>
      <c r="J17" s="12">
        <f t="shared" si="5"/>
        <v>150.52525919999997</v>
      </c>
      <c r="K17" s="12">
        <f t="shared" si="5"/>
        <v>143.90214779519997</v>
      </c>
      <c r="L17" s="12">
        <f t="shared" si="5"/>
        <v>137.57045329221117</v>
      </c>
      <c r="M17" s="12">
        <f t="shared" si="5"/>
        <v>131.51735334735386</v>
      </c>
      <c r="N17" s="12">
        <f t="shared" si="5"/>
        <v>125.73058980007029</v>
      </c>
      <c r="O17" s="12">
        <f t="shared" si="5"/>
        <v>120.1984438488672</v>
      </c>
      <c r="P17" s="12">
        <f t="shared" si="5"/>
        <v>114.90971231951704</v>
      </c>
      <c r="Q17" s="12">
        <f>+P17*4</f>
        <v>459.63884927806816</v>
      </c>
      <c r="R17" s="12">
        <f t="shared" si="5"/>
        <v>390.69302188635794</v>
      </c>
      <c r="S17" s="12">
        <f>+R17*(1+S18)</f>
        <v>351.62371969772215</v>
      </c>
      <c r="T17" s="12">
        <f>+S17*(1+T18)</f>
        <v>334.042533712836</v>
      </c>
      <c r="U17" s="12">
        <f>+T17*(1+U18)</f>
        <v>334.042533712836</v>
      </c>
      <c r="V17" s="12">
        <f>+U17*(1+V18)</f>
        <v>334.042533712836</v>
      </c>
    </row>
    <row r="18" spans="1:22" s="2" customFormat="1" ht="12.75">
      <c r="A18" s="31"/>
      <c r="B18" s="73" t="s">
        <v>79</v>
      </c>
      <c r="C18" s="145"/>
      <c r="D18" s="157"/>
      <c r="E18" s="191"/>
      <c r="F18" s="191"/>
      <c r="G18" s="191"/>
      <c r="H18" s="294"/>
      <c r="I18" s="78">
        <f aca="true" t="shared" si="6" ref="I18:R18">+I6</f>
        <v>-0.044</v>
      </c>
      <c r="J18" s="78">
        <f t="shared" si="6"/>
        <v>-0.044</v>
      </c>
      <c r="K18" s="78">
        <f t="shared" si="6"/>
        <v>-0.044</v>
      </c>
      <c r="L18" s="78">
        <f t="shared" si="6"/>
        <v>-0.044</v>
      </c>
      <c r="M18" s="78">
        <f t="shared" si="6"/>
        <v>-0.044</v>
      </c>
      <c r="N18" s="78">
        <f t="shared" si="6"/>
        <v>-0.044</v>
      </c>
      <c r="O18" s="78">
        <f t="shared" si="6"/>
        <v>-0.044</v>
      </c>
      <c r="P18" s="78">
        <f t="shared" si="6"/>
        <v>-0.044</v>
      </c>
      <c r="Q18" s="78">
        <f t="shared" si="6"/>
        <v>-0.15</v>
      </c>
      <c r="R18" s="78">
        <f t="shared" si="6"/>
        <v>-0.15</v>
      </c>
      <c r="S18" s="78">
        <f>+S6</f>
        <v>-0.1</v>
      </c>
      <c r="T18" s="78">
        <f>+T6</f>
        <v>-0.05</v>
      </c>
      <c r="U18" s="78">
        <f>+U6</f>
        <v>0</v>
      </c>
      <c r="V18" s="78">
        <f>+V6</f>
        <v>0</v>
      </c>
    </row>
    <row r="19" spans="1:22" s="111" customFormat="1" ht="12.75">
      <c r="A19" s="109"/>
      <c r="B19" s="110" t="s">
        <v>122</v>
      </c>
      <c r="C19" s="147"/>
      <c r="D19" s="107">
        <v>0.5</v>
      </c>
      <c r="E19" s="107">
        <f>+E20/E17</f>
        <v>0.5494094488188975</v>
      </c>
      <c r="F19" s="107">
        <f>+F20/F17</f>
        <v>0.5554878048780487</v>
      </c>
      <c r="G19" s="107">
        <f>+G20/G17</f>
        <v>0.5591348890153672</v>
      </c>
      <c r="H19" s="293">
        <f>+H20/H17</f>
        <v>0.5597965998785672</v>
      </c>
      <c r="I19" s="107">
        <v>0.54</v>
      </c>
      <c r="J19" s="107">
        <v>0.535</v>
      </c>
      <c r="K19" s="107">
        <v>0.53</v>
      </c>
      <c r="L19" s="107">
        <v>0.53</v>
      </c>
      <c r="M19" s="107">
        <v>0.53</v>
      </c>
      <c r="N19" s="107">
        <v>0.53</v>
      </c>
      <c r="O19" s="107">
        <v>0.53</v>
      </c>
      <c r="P19" s="107">
        <v>0.53</v>
      </c>
      <c r="Q19" s="107">
        <v>0.53</v>
      </c>
      <c r="R19" s="107">
        <v>0.53</v>
      </c>
      <c r="S19" s="107">
        <v>0.53</v>
      </c>
      <c r="T19" s="107">
        <v>0.53</v>
      </c>
      <c r="U19" s="107">
        <v>0.53</v>
      </c>
      <c r="V19" s="107">
        <v>0.53</v>
      </c>
    </row>
    <row r="20" spans="1:22" s="2" customFormat="1" ht="12.75">
      <c r="A20" s="31"/>
      <c r="B20" s="26" t="s">
        <v>77</v>
      </c>
      <c r="C20" s="145"/>
      <c r="D20" s="80">
        <f>+D17*D19</f>
        <v>111.65</v>
      </c>
      <c r="E20" s="80">
        <f>+E23-E15</f>
        <v>111.63999999999999</v>
      </c>
      <c r="F20" s="80">
        <f>+F23-F15</f>
        <v>109.32</v>
      </c>
      <c r="G20" s="80">
        <f>+G23-G15</f>
        <v>98.24000000000001</v>
      </c>
      <c r="H20" s="205">
        <f>+H23-H15</f>
        <v>92.19850000000001</v>
      </c>
      <c r="I20" s="80">
        <f aca="true" t="shared" si="7" ref="I20:R20">+I17*I19</f>
        <v>85.024728</v>
      </c>
      <c r="J20" s="80">
        <f t="shared" si="7"/>
        <v>80.53101367199999</v>
      </c>
      <c r="K20" s="80">
        <f t="shared" si="7"/>
        <v>76.26813833145599</v>
      </c>
      <c r="L20" s="80">
        <f t="shared" si="7"/>
        <v>72.91234024487193</v>
      </c>
      <c r="M20" s="80">
        <f t="shared" si="7"/>
        <v>69.70419727409755</v>
      </c>
      <c r="N20" s="80">
        <f t="shared" si="7"/>
        <v>66.63721259403725</v>
      </c>
      <c r="O20" s="80">
        <f t="shared" si="7"/>
        <v>63.70517523989962</v>
      </c>
      <c r="P20" s="80">
        <f t="shared" si="7"/>
        <v>60.902147529344035</v>
      </c>
      <c r="Q20" s="80">
        <f t="shared" si="7"/>
        <v>243.60859011737614</v>
      </c>
      <c r="R20" s="80">
        <f t="shared" si="7"/>
        <v>207.0673015997697</v>
      </c>
      <c r="S20" s="80">
        <f>+S17*S19</f>
        <v>186.36057143979275</v>
      </c>
      <c r="T20" s="80">
        <f>+T17*T19</f>
        <v>177.0425428678031</v>
      </c>
      <c r="U20" s="80">
        <f>+U17*U19</f>
        <v>177.0425428678031</v>
      </c>
      <c r="V20" s="80">
        <f>+V17*V19</f>
        <v>177.0425428678031</v>
      </c>
    </row>
    <row r="21" spans="1:22" s="2" customFormat="1" ht="12.75">
      <c r="A21" s="31"/>
      <c r="B21" s="73"/>
      <c r="C21" s="145"/>
      <c r="D21" s="38"/>
      <c r="E21" s="38"/>
      <c r="F21" s="38"/>
      <c r="G21" s="38"/>
      <c r="H21" s="295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22" s="2" customFormat="1" ht="12.75">
      <c r="A22" s="31"/>
      <c r="B22" s="73" t="s">
        <v>80</v>
      </c>
      <c r="C22" s="145"/>
      <c r="D22" s="157">
        <f>+D12+D17</f>
        <v>313.3</v>
      </c>
      <c r="E22" s="157">
        <v>289.1</v>
      </c>
      <c r="F22" s="157">
        <v>286.5</v>
      </c>
      <c r="G22" s="157">
        <v>267.7</v>
      </c>
      <c r="H22" s="291">
        <v>264.4</v>
      </c>
      <c r="I22" s="12">
        <f aca="true" t="shared" si="8" ref="I22:R22">+I12+I17</f>
        <v>259.39644999999996</v>
      </c>
      <c r="J22" s="12">
        <f t="shared" si="8"/>
        <v>254.76223232499996</v>
      </c>
      <c r="K22" s="12">
        <f t="shared" si="8"/>
        <v>250.48445281551247</v>
      </c>
      <c r="L22" s="12">
        <f t="shared" si="8"/>
        <v>246.5508601754807</v>
      </c>
      <c r="M22" s="12">
        <f t="shared" si="8"/>
        <v>242.94981938549697</v>
      </c>
      <c r="N22" s="12">
        <f t="shared" si="8"/>
        <v>239.6702863240716</v>
      </c>
      <c r="O22" s="12">
        <f t="shared" si="8"/>
        <v>236.70178354465855</v>
      </c>
      <c r="P22" s="12">
        <f t="shared" si="8"/>
        <v>234.03437715846368</v>
      </c>
      <c r="Q22" s="12">
        <f t="shared" si="8"/>
        <v>936.1375086338547</v>
      </c>
      <c r="R22" s="12">
        <f t="shared" si="8"/>
        <v>938.6664801455124</v>
      </c>
      <c r="S22" s="12">
        <f>+S12+S17</f>
        <v>981.7931966957499</v>
      </c>
      <c r="T22" s="12">
        <f>+T12+T17</f>
        <v>1058.7374322605679</v>
      </c>
      <c r="U22" s="12">
        <f>+U12+U17</f>
        <v>1167.4416670427274</v>
      </c>
      <c r="V22" s="12">
        <f>+V12+V17</f>
        <v>1292.4515370422112</v>
      </c>
    </row>
    <row r="23" spans="1:22" s="26" customFormat="1" ht="13.5" thickBot="1">
      <c r="A23" s="32" t="s">
        <v>15</v>
      </c>
      <c r="B23" s="32" t="s">
        <v>112</v>
      </c>
      <c r="C23" s="148"/>
      <c r="D23" s="81">
        <f>+D15+D20</f>
        <v>147.11</v>
      </c>
      <c r="E23" s="81">
        <v>146</v>
      </c>
      <c r="F23" s="81">
        <v>145.2</v>
      </c>
      <c r="G23" s="81">
        <v>137.8</v>
      </c>
      <c r="H23" s="208">
        <v>141.55</v>
      </c>
      <c r="I23" s="81">
        <f aca="true" t="shared" si="9" ref="I23:R23">+I15+I20</f>
        <v>135.48663675</v>
      </c>
      <c r="J23" s="81">
        <f t="shared" si="9"/>
        <v>132.12831536887498</v>
      </c>
      <c r="K23" s="81">
        <f t="shared" si="9"/>
        <v>129.02637931651068</v>
      </c>
      <c r="L23" s="81">
        <f t="shared" si="9"/>
        <v>126.85764165209035</v>
      </c>
      <c r="M23" s="81">
        <f t="shared" si="9"/>
        <v>124.8632679629784</v>
      </c>
      <c r="N23" s="81">
        <f t="shared" si="9"/>
        <v>123.0373623734179</v>
      </c>
      <c r="O23" s="81">
        <f t="shared" si="9"/>
        <v>121.37432838931633</v>
      </c>
      <c r="P23" s="81">
        <f t="shared" si="9"/>
        <v>119.86885662462262</v>
      </c>
      <c r="Q23" s="81">
        <f t="shared" si="9"/>
        <v>479.4754264984905</v>
      </c>
      <c r="R23" s="81">
        <f t="shared" si="9"/>
        <v>478.3141634380512</v>
      </c>
      <c r="S23" s="81">
        <f>+S15+S20</f>
        <v>498.29446255381646</v>
      </c>
      <c r="T23" s="81">
        <f>+T15+T20</f>
        <v>535.7665176489304</v>
      </c>
      <c r="U23" s="81">
        <f>+U15+U20</f>
        <v>589.5751138660994</v>
      </c>
      <c r="V23" s="81">
        <f>+V15+V20</f>
        <v>651.4549995158438</v>
      </c>
    </row>
    <row r="24" spans="1:22" s="26" customFormat="1" ht="13.5" thickTop="1">
      <c r="A24" s="32"/>
      <c r="B24" s="26" t="s">
        <v>81</v>
      </c>
      <c r="C24" s="148" t="s">
        <v>125</v>
      </c>
      <c r="D24" s="83">
        <f>+D23/D22</f>
        <v>0.4695499521225663</v>
      </c>
      <c r="E24" s="241">
        <f>+E23/E22</f>
        <v>0.5050155655482531</v>
      </c>
      <c r="F24" s="241">
        <f>+F23/F22</f>
        <v>0.506806282722513</v>
      </c>
      <c r="G24" s="241">
        <f aca="true" t="shared" si="10" ref="G24:R24">+G23/G22</f>
        <v>0.5147553231228988</v>
      </c>
      <c r="H24" s="242">
        <f t="shared" si="10"/>
        <v>0.5353630862329805</v>
      </c>
      <c r="I24" s="240">
        <f t="shared" si="10"/>
        <v>0.522314922775543</v>
      </c>
      <c r="J24" s="240">
        <f t="shared" si="10"/>
        <v>0.5186338420850348</v>
      </c>
      <c r="K24" s="240">
        <f t="shared" si="10"/>
        <v>0.51510733646827</v>
      </c>
      <c r="L24" s="240">
        <f t="shared" si="10"/>
        <v>0.514529300614893</v>
      </c>
      <c r="M24" s="251">
        <f t="shared" si="10"/>
        <v>0.5139467412603979</v>
      </c>
      <c r="N24" s="251">
        <f t="shared" si="10"/>
        <v>0.5133609353937693</v>
      </c>
      <c r="O24" s="251">
        <f t="shared" si="10"/>
        <v>0.5127731889963416</v>
      </c>
      <c r="P24" s="251">
        <f t="shared" si="10"/>
        <v>0.5121848254945038</v>
      </c>
      <c r="Q24" s="276">
        <f t="shared" si="10"/>
        <v>0.5121848254945038</v>
      </c>
      <c r="R24" s="241">
        <f t="shared" si="10"/>
        <v>0.5095677469636529</v>
      </c>
      <c r="S24" s="276">
        <f>+S23/S22</f>
        <v>0.5075350534418442</v>
      </c>
      <c r="T24" s="241">
        <f>+T23/T22</f>
        <v>0.5060428594698746</v>
      </c>
      <c r="U24" s="276">
        <f>+U23/U22</f>
        <v>0.505014623436874</v>
      </c>
      <c r="V24" s="241">
        <f>+V23/V22</f>
        <v>0.5040459783944437</v>
      </c>
    </row>
    <row r="25" spans="1:8" s="2" customFormat="1" ht="12.75">
      <c r="A25" s="31"/>
      <c r="B25" s="103"/>
      <c r="C25" s="145"/>
      <c r="D25" s="149"/>
      <c r="E25" s="149"/>
      <c r="F25" s="149"/>
      <c r="G25" s="149"/>
      <c r="H25" s="290"/>
    </row>
    <row r="26" spans="1:22" s="26" customFormat="1" ht="12.75">
      <c r="A26" s="32"/>
      <c r="B26" s="25"/>
      <c r="C26" s="148"/>
      <c r="D26" s="38"/>
      <c r="E26" s="38"/>
      <c r="F26" s="38"/>
      <c r="G26" s="38"/>
      <c r="H26" s="295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2" customFormat="1" ht="12.75">
      <c r="A27" s="31"/>
      <c r="B27" s="53" t="s">
        <v>47</v>
      </c>
      <c r="C27" s="149"/>
      <c r="D27" s="157"/>
      <c r="E27" s="157"/>
      <c r="F27" s="157"/>
      <c r="G27" s="157"/>
      <c r="H27" s="29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2" customFormat="1" ht="12.75">
      <c r="A28" s="31"/>
      <c r="B28" s="25" t="s">
        <v>17</v>
      </c>
      <c r="C28" s="149"/>
      <c r="D28" s="157"/>
      <c r="E28" s="157"/>
      <c r="F28" s="157"/>
      <c r="G28" s="157"/>
      <c r="H28" s="29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" customFormat="1" ht="12.75">
      <c r="A29" s="31"/>
      <c r="B29" s="1" t="s">
        <v>89</v>
      </c>
      <c r="C29" s="149"/>
      <c r="D29" s="157">
        <v>3.325</v>
      </c>
      <c r="E29" s="157">
        <v>2.07</v>
      </c>
      <c r="F29" s="157">
        <v>1.7825</v>
      </c>
      <c r="G29" s="157">
        <v>1.495</v>
      </c>
      <c r="H29" s="291">
        <v>1.2075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s="2" customFormat="1" ht="12.75">
      <c r="A30" s="31"/>
      <c r="B30" s="1" t="s">
        <v>90</v>
      </c>
      <c r="C30" s="149"/>
      <c r="D30" s="157"/>
      <c r="E30" s="157">
        <v>2.629</v>
      </c>
      <c r="F30" s="157">
        <v>2.629</v>
      </c>
      <c r="G30" s="157">
        <v>2.629</v>
      </c>
      <c r="H30" s="291">
        <v>2.629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s="2" customFormat="1" ht="12.75">
      <c r="A31" s="31"/>
      <c r="B31" s="1" t="s">
        <v>25</v>
      </c>
      <c r="C31" s="187"/>
      <c r="D31" s="157">
        <v>0</v>
      </c>
      <c r="E31" s="157">
        <v>0</v>
      </c>
      <c r="F31" s="157"/>
      <c r="G31" s="157"/>
      <c r="H31" s="29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s="2" customFormat="1" ht="12.75">
      <c r="A32" s="31"/>
      <c r="B32" s="1" t="s">
        <v>34</v>
      </c>
      <c r="C32" s="149"/>
      <c r="D32" s="157">
        <v>2.875</v>
      </c>
      <c r="E32" s="157">
        <v>2.875</v>
      </c>
      <c r="F32" s="157">
        <v>2.875</v>
      </c>
      <c r="G32" s="157">
        <v>2.875</v>
      </c>
      <c r="H32" s="291">
        <v>2.875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" customFormat="1" ht="12.75">
      <c r="A33" s="31"/>
      <c r="B33" s="1" t="s">
        <v>14</v>
      </c>
      <c r="C33" s="149"/>
      <c r="D33" s="157"/>
      <c r="E33" s="157"/>
      <c r="F33" s="157"/>
      <c r="G33" s="157"/>
      <c r="H33" s="29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s="2" customFormat="1" ht="12.75">
      <c r="A34" s="31"/>
      <c r="B34" s="7" t="s">
        <v>27</v>
      </c>
      <c r="C34" s="149"/>
      <c r="D34" s="157">
        <v>2.1125</v>
      </c>
      <c r="E34" s="157">
        <v>2.1125</v>
      </c>
      <c r="F34" s="157">
        <v>2.1125</v>
      </c>
      <c r="G34" s="157">
        <v>2.1125</v>
      </c>
      <c r="H34" s="291">
        <v>2.1125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2" customFormat="1" ht="12.75">
      <c r="A35" s="31"/>
      <c r="B35" s="1" t="s">
        <v>26</v>
      </c>
      <c r="C35" s="149"/>
      <c r="D35" s="157">
        <v>2.140625</v>
      </c>
      <c r="E35" s="157">
        <v>2.140625</v>
      </c>
      <c r="F35" s="157">
        <v>2.140625</v>
      </c>
      <c r="G35" s="157">
        <v>2.140625</v>
      </c>
      <c r="H35" s="291">
        <v>2.140625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2" customFormat="1" ht="12.75">
      <c r="A36" s="31"/>
      <c r="B36" s="1" t="s">
        <v>28</v>
      </c>
      <c r="C36" s="149"/>
      <c r="D36" s="157">
        <v>3.640125</v>
      </c>
      <c r="E36" s="157">
        <v>3.640125</v>
      </c>
      <c r="F36" s="157">
        <v>3.640125</v>
      </c>
      <c r="G36" s="157">
        <v>3.640125</v>
      </c>
      <c r="H36" s="291">
        <v>3.640125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2" customFormat="1" ht="12.75">
      <c r="A37" s="31"/>
      <c r="B37" s="1" t="s">
        <v>29</v>
      </c>
      <c r="C37" s="149"/>
      <c r="D37" s="157">
        <v>2.5185</v>
      </c>
      <c r="E37" s="157">
        <v>2.5185</v>
      </c>
      <c r="F37" s="157">
        <v>2.5185</v>
      </c>
      <c r="G37" s="157">
        <v>2.5185</v>
      </c>
      <c r="H37" s="291">
        <v>2.5185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2" customFormat="1" ht="12.75">
      <c r="A38" s="31"/>
      <c r="B38" s="1" t="s">
        <v>30</v>
      </c>
      <c r="C38" s="149"/>
      <c r="D38" s="157">
        <v>4.2</v>
      </c>
      <c r="E38" s="157">
        <v>4.2</v>
      </c>
      <c r="F38" s="157">
        <v>4.2</v>
      </c>
      <c r="G38" s="157">
        <v>4.2</v>
      </c>
      <c r="H38" s="291">
        <v>4.2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2" customFormat="1" ht="12.75">
      <c r="A39" s="31"/>
      <c r="B39" s="1" t="s">
        <v>31</v>
      </c>
      <c r="C39" s="149"/>
      <c r="D39" s="157">
        <v>1.769625</v>
      </c>
      <c r="E39" s="157">
        <v>1.769625</v>
      </c>
      <c r="F39" s="157">
        <v>1.769625</v>
      </c>
      <c r="G39" s="157">
        <v>1.769625</v>
      </c>
      <c r="H39" s="291">
        <v>1.769625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2" customFormat="1" ht="12.75">
      <c r="A40" s="31"/>
      <c r="B40" s="1" t="s">
        <v>32</v>
      </c>
      <c r="C40" s="149"/>
      <c r="D40" s="157">
        <v>5.8125</v>
      </c>
      <c r="E40" s="157">
        <v>5.8125</v>
      </c>
      <c r="F40" s="157">
        <v>5.8125</v>
      </c>
      <c r="G40" s="157">
        <v>5.8125</v>
      </c>
      <c r="H40" s="291">
        <v>5.8125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2" customFormat="1" ht="12.75">
      <c r="A41" s="31"/>
      <c r="B41" s="1" t="s">
        <v>33</v>
      </c>
      <c r="C41" s="149"/>
      <c r="D41" s="157">
        <v>0.265625</v>
      </c>
      <c r="E41" s="157">
        <v>0.265625</v>
      </c>
      <c r="F41" s="157">
        <v>0.265625</v>
      </c>
      <c r="G41" s="157">
        <v>0.265625</v>
      </c>
      <c r="H41" s="291">
        <v>0.265625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2" customFormat="1" ht="12.75">
      <c r="A42" s="31"/>
      <c r="B42" s="19" t="s">
        <v>101</v>
      </c>
      <c r="C42" s="149"/>
      <c r="D42" s="157">
        <f>35.6-28.7</f>
        <v>6.900000000000002</v>
      </c>
      <c r="E42" s="157">
        <f>32.9-30</f>
        <v>2.8999999999999986</v>
      </c>
      <c r="F42" s="157">
        <v>-2.7</v>
      </c>
      <c r="G42" s="157">
        <v>5.47</v>
      </c>
      <c r="H42" s="29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2" customFormat="1" ht="12.75">
      <c r="A43" s="31"/>
      <c r="B43" s="19"/>
      <c r="C43" s="149"/>
      <c r="D43" s="157"/>
      <c r="E43" s="157"/>
      <c r="F43" s="157"/>
      <c r="G43" s="157"/>
      <c r="H43" s="29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2" customFormat="1" ht="12.75">
      <c r="A44" s="31"/>
      <c r="B44" s="19" t="s">
        <v>134</v>
      </c>
      <c r="C44" s="149"/>
      <c r="D44" s="157"/>
      <c r="E44" s="157"/>
      <c r="F44" s="157"/>
      <c r="G44" s="157"/>
      <c r="H44" s="291"/>
      <c r="I44" s="12">
        <f>(+H94-107.5)*(0.0925/4)</f>
        <v>18.4930625</v>
      </c>
      <c r="J44" s="12">
        <f aca="true" t="shared" si="11" ref="J44:P44">(+I94-107.5)*(0.0925/4)</f>
        <v>18.4930625</v>
      </c>
      <c r="K44" s="12">
        <f t="shared" si="11"/>
        <v>17.3368125</v>
      </c>
      <c r="L44" s="12">
        <f t="shared" si="11"/>
        <v>17.3368125</v>
      </c>
      <c r="M44" s="12">
        <f t="shared" si="11"/>
        <v>16.1805625</v>
      </c>
      <c r="N44" s="12">
        <f t="shared" si="11"/>
        <v>16.1805625</v>
      </c>
      <c r="O44" s="12">
        <f t="shared" si="11"/>
        <v>15.313375</v>
      </c>
      <c r="P44" s="12">
        <f t="shared" si="11"/>
        <v>15.313375</v>
      </c>
      <c r="Q44" s="12">
        <f>(+P94-107.5)*(0.0925)</f>
        <v>57.78475</v>
      </c>
      <c r="R44" s="12">
        <f>(+Q94-107.5)*(0.0925)</f>
        <v>39.416901979866594</v>
      </c>
      <c r="S44" s="12">
        <f>(+R94-107.5)*(0.0925)</f>
        <v>21.484111297783812</v>
      </c>
      <c r="T44" s="12">
        <f>(+S94-107.5)*(0.0925)</f>
        <v>2.3576137841222575</v>
      </c>
      <c r="U44" s="12"/>
      <c r="V44" s="12"/>
    </row>
    <row r="45" spans="1:22" s="2" customFormat="1" ht="12.75">
      <c r="A45" s="31"/>
      <c r="B45" s="19" t="s">
        <v>135</v>
      </c>
      <c r="C45" s="149"/>
      <c r="D45" s="157"/>
      <c r="E45" s="157"/>
      <c r="F45" s="157"/>
      <c r="G45" s="157"/>
      <c r="H45" s="291"/>
      <c r="I45" s="12">
        <f>107.5*0.08/4</f>
        <v>2.15</v>
      </c>
      <c r="J45" s="12">
        <f aca="true" t="shared" si="12" ref="J45:P45">107.5*0.08/4</f>
        <v>2.15</v>
      </c>
      <c r="K45" s="12">
        <f t="shared" si="12"/>
        <v>2.15</v>
      </c>
      <c r="L45" s="12">
        <f t="shared" si="12"/>
        <v>2.15</v>
      </c>
      <c r="M45" s="12">
        <f t="shared" si="12"/>
        <v>2.15</v>
      </c>
      <c r="N45" s="12">
        <f t="shared" si="12"/>
        <v>2.15</v>
      </c>
      <c r="O45" s="12">
        <f t="shared" si="12"/>
        <v>2.15</v>
      </c>
      <c r="P45" s="12">
        <f t="shared" si="12"/>
        <v>2.15</v>
      </c>
      <c r="Q45" s="12">
        <f aca="true" t="shared" si="13" ref="Q45:V45">107.5*0.08</f>
        <v>8.6</v>
      </c>
      <c r="R45" s="12">
        <f t="shared" si="13"/>
        <v>8.6</v>
      </c>
      <c r="S45" s="12">
        <f t="shared" si="13"/>
        <v>8.6</v>
      </c>
      <c r="T45" s="12">
        <f t="shared" si="13"/>
        <v>8.6</v>
      </c>
      <c r="U45" s="12">
        <f t="shared" si="13"/>
        <v>8.6</v>
      </c>
      <c r="V45" s="12">
        <f t="shared" si="13"/>
        <v>8.6</v>
      </c>
    </row>
    <row r="46" spans="1:22" s="2" customFormat="1" ht="12.75">
      <c r="A46" s="31"/>
      <c r="B46" s="19"/>
      <c r="C46" s="149"/>
      <c r="D46" s="157"/>
      <c r="E46" s="157"/>
      <c r="F46" s="157"/>
      <c r="G46" s="157"/>
      <c r="H46" s="29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2" customFormat="1" ht="12.75">
      <c r="A47" s="31" t="s">
        <v>119</v>
      </c>
      <c r="B47" s="19" t="s">
        <v>115</v>
      </c>
      <c r="C47" s="149"/>
      <c r="D47" s="157"/>
      <c r="E47" s="157">
        <v>1.9</v>
      </c>
      <c r="F47" s="157">
        <f>7.4-E47</f>
        <v>5.5</v>
      </c>
      <c r="G47" s="157"/>
      <c r="H47" s="291">
        <v>17.9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" customFormat="1" ht="12.75">
      <c r="A48" s="31"/>
      <c r="B48" s="25"/>
      <c r="C48" s="149"/>
      <c r="D48" s="157"/>
      <c r="E48" s="157"/>
      <c r="F48" s="157"/>
      <c r="G48" s="157"/>
      <c r="H48" s="29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2" customFormat="1" ht="12.75">
      <c r="A49" s="31"/>
      <c r="B49" s="25" t="s">
        <v>117</v>
      </c>
      <c r="C49" s="149"/>
      <c r="D49" s="157">
        <v>27.3</v>
      </c>
      <c r="E49" s="192">
        <v>29.8</v>
      </c>
      <c r="F49" s="157">
        <v>31.7</v>
      </c>
      <c r="G49" s="157">
        <v>5.6</v>
      </c>
      <c r="H49" s="291">
        <f>63.5-(E49+F49+G49)</f>
        <v>-3.5999999999999943</v>
      </c>
      <c r="I49" s="12">
        <v>15</v>
      </c>
      <c r="J49" s="12">
        <f aca="true" t="shared" si="14" ref="J49:P49">+I49</f>
        <v>15</v>
      </c>
      <c r="K49" s="12">
        <f t="shared" si="14"/>
        <v>15</v>
      </c>
      <c r="L49" s="12">
        <f t="shared" si="14"/>
        <v>15</v>
      </c>
      <c r="M49" s="12">
        <v>20</v>
      </c>
      <c r="N49" s="12">
        <f t="shared" si="14"/>
        <v>20</v>
      </c>
      <c r="O49" s="12">
        <f t="shared" si="14"/>
        <v>20</v>
      </c>
      <c r="P49" s="12">
        <f t="shared" si="14"/>
        <v>20</v>
      </c>
      <c r="Q49" s="12">
        <f>+P49*4</f>
        <v>80</v>
      </c>
      <c r="R49" s="12">
        <f>+Q49</f>
        <v>80</v>
      </c>
      <c r="S49" s="12">
        <f>+R49</f>
        <v>80</v>
      </c>
      <c r="T49" s="12">
        <f>+S49</f>
        <v>80</v>
      </c>
      <c r="U49" s="12">
        <f>+T49</f>
        <v>80</v>
      </c>
      <c r="V49" s="12">
        <f>+U49</f>
        <v>80</v>
      </c>
    </row>
    <row r="50" spans="1:22" s="2" customFormat="1" ht="12.75">
      <c r="A50" s="31"/>
      <c r="C50" s="149"/>
      <c r="D50" s="157"/>
      <c r="E50" s="157"/>
      <c r="F50" s="157"/>
      <c r="G50" s="157"/>
      <c r="H50" s="29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2" customFormat="1" ht="12.75">
      <c r="A51" s="31"/>
      <c r="B51" s="25" t="s">
        <v>71</v>
      </c>
      <c r="C51" s="149"/>
      <c r="D51" s="157">
        <v>14.7</v>
      </c>
      <c r="E51" s="157">
        <v>8.2</v>
      </c>
      <c r="F51" s="157">
        <f>16.9-E51</f>
        <v>8.7</v>
      </c>
      <c r="G51" s="157">
        <f>-SUM(E51:F51)+24.8</f>
        <v>7.900000000000002</v>
      </c>
      <c r="H51" s="291">
        <v>15.4</v>
      </c>
      <c r="I51" s="12">
        <f aca="true" t="shared" si="15" ref="I51:P51">+H51</f>
        <v>15.4</v>
      </c>
      <c r="J51" s="12">
        <f t="shared" si="15"/>
        <v>15.4</v>
      </c>
      <c r="K51" s="12">
        <f t="shared" si="15"/>
        <v>15.4</v>
      </c>
      <c r="L51" s="12">
        <f t="shared" si="15"/>
        <v>15.4</v>
      </c>
      <c r="M51" s="12">
        <f t="shared" si="15"/>
        <v>15.4</v>
      </c>
      <c r="N51" s="12">
        <f t="shared" si="15"/>
        <v>15.4</v>
      </c>
      <c r="O51" s="12">
        <f t="shared" si="15"/>
        <v>15.4</v>
      </c>
      <c r="P51" s="12">
        <f t="shared" si="15"/>
        <v>15.4</v>
      </c>
      <c r="Q51" s="12">
        <f>+P51*4</f>
        <v>61.6</v>
      </c>
      <c r="R51" s="12">
        <f>+Q51</f>
        <v>61.6</v>
      </c>
      <c r="S51" s="12">
        <f>+R51</f>
        <v>61.6</v>
      </c>
      <c r="T51" s="12">
        <f>+S51</f>
        <v>61.6</v>
      </c>
      <c r="U51" s="12">
        <f>+T51</f>
        <v>61.6</v>
      </c>
      <c r="V51" s="12">
        <f>+U51</f>
        <v>61.6</v>
      </c>
    </row>
    <row r="52" spans="1:22" s="2" customFormat="1" ht="12.75">
      <c r="A52" s="31" t="s">
        <v>119</v>
      </c>
      <c r="B52" s="25" t="s">
        <v>116</v>
      </c>
      <c r="C52" s="149"/>
      <c r="D52" s="157">
        <v>0</v>
      </c>
      <c r="E52" s="157">
        <v>13.036</v>
      </c>
      <c r="F52" s="157">
        <v>0</v>
      </c>
      <c r="G52" s="157">
        <v>3.6</v>
      </c>
      <c r="H52" s="291">
        <f>14.526-E52-F52-G52</f>
        <v>-2.11</v>
      </c>
      <c r="I52" s="27">
        <v>13</v>
      </c>
      <c r="J52" s="12">
        <v>0</v>
      </c>
      <c r="K52" s="12">
        <v>0</v>
      </c>
      <c r="L52" s="12">
        <v>0</v>
      </c>
      <c r="M52" s="27">
        <v>13</v>
      </c>
      <c r="N52" s="12">
        <v>0</v>
      </c>
      <c r="O52" s="12">
        <v>0</v>
      </c>
      <c r="P52" s="12">
        <v>0</v>
      </c>
      <c r="Q52" s="27">
        <v>13</v>
      </c>
      <c r="R52" s="27">
        <v>13</v>
      </c>
      <c r="S52" s="12">
        <v>0</v>
      </c>
      <c r="T52" s="12">
        <v>0</v>
      </c>
      <c r="U52" s="12">
        <v>0</v>
      </c>
      <c r="V52" s="12">
        <v>0</v>
      </c>
    </row>
    <row r="53" spans="1:22" s="2" customFormat="1" ht="12.75">
      <c r="A53" s="31" t="s">
        <v>119</v>
      </c>
      <c r="B53" s="25" t="s">
        <v>118</v>
      </c>
      <c r="C53" s="149"/>
      <c r="D53" s="157"/>
      <c r="E53" s="157">
        <f>42.736+(315.3-310.1)</f>
        <v>47.935999999999986</v>
      </c>
      <c r="F53" s="157">
        <f>30.4-E53-0.7</f>
        <v>-18.235999999999986</v>
      </c>
      <c r="G53" s="157">
        <f>-SUM(E53:F53)+43.577</f>
        <v>13.876999999999999</v>
      </c>
      <c r="H53" s="291">
        <f>14.529-E53-F53-G53</f>
        <v>-29.047999999999995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2" customFormat="1" ht="12.75">
      <c r="A54" s="31"/>
      <c r="B54" s="25"/>
      <c r="C54" s="149"/>
      <c r="D54" s="157"/>
      <c r="E54" s="157"/>
      <c r="F54" s="157"/>
      <c r="G54" s="157"/>
      <c r="H54" s="29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2" customFormat="1" ht="12.75">
      <c r="A55" s="31"/>
      <c r="B55" s="25" t="s">
        <v>132</v>
      </c>
      <c r="C55" s="149"/>
      <c r="D55" s="157"/>
      <c r="E55" s="157"/>
      <c r="F55" s="157"/>
      <c r="G55" s="157">
        <v>26.8</v>
      </c>
      <c r="H55" s="291">
        <v>-21.2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2" customFormat="1" ht="12.75">
      <c r="A56" s="31"/>
      <c r="B56" s="25" t="s">
        <v>131</v>
      </c>
      <c r="C56" s="149"/>
      <c r="D56" s="157"/>
      <c r="E56" s="157"/>
      <c r="F56" s="157"/>
      <c r="G56" s="157">
        <v>16.305</v>
      </c>
      <c r="H56" s="291">
        <f>63-G56</f>
        <v>46.695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2" customFormat="1" ht="12.75">
      <c r="A57" s="31"/>
      <c r="B57" s="25" t="s">
        <v>102</v>
      </c>
      <c r="C57" s="149"/>
      <c r="D57" s="157">
        <v>2.9</v>
      </c>
      <c r="E57" s="157">
        <v>0</v>
      </c>
      <c r="F57" s="157"/>
      <c r="G57" s="157"/>
      <c r="H57" s="29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2" customFormat="1" ht="12.75">
      <c r="A58" s="31"/>
      <c r="B58" s="2" t="s">
        <v>103</v>
      </c>
      <c r="C58" s="149"/>
      <c r="D58" s="157">
        <v>0.5</v>
      </c>
      <c r="E58" s="157"/>
      <c r="F58" s="157"/>
      <c r="G58" s="157">
        <v>-1.6</v>
      </c>
      <c r="H58" s="29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" customFormat="1" ht="12.75">
      <c r="A59" s="31"/>
      <c r="B59" s="25" t="s">
        <v>19</v>
      </c>
      <c r="C59" s="150" t="s">
        <v>107</v>
      </c>
      <c r="D59" s="157">
        <v>10</v>
      </c>
      <c r="E59" s="157">
        <v>0</v>
      </c>
      <c r="F59" s="157">
        <v>0</v>
      </c>
      <c r="G59" s="157">
        <f aca="true" t="shared" si="16" ref="G59:P59">+F59</f>
        <v>0</v>
      </c>
      <c r="H59" s="291">
        <f t="shared" si="16"/>
        <v>0</v>
      </c>
      <c r="I59" s="12">
        <f t="shared" si="16"/>
        <v>0</v>
      </c>
      <c r="J59" s="12">
        <f t="shared" si="16"/>
        <v>0</v>
      </c>
      <c r="K59" s="12">
        <f t="shared" si="16"/>
        <v>0</v>
      </c>
      <c r="L59" s="12">
        <f t="shared" si="16"/>
        <v>0</v>
      </c>
      <c r="M59" s="12">
        <f t="shared" si="16"/>
        <v>0</v>
      </c>
      <c r="N59" s="12">
        <f t="shared" si="16"/>
        <v>0</v>
      </c>
      <c r="O59" s="12">
        <f t="shared" si="16"/>
        <v>0</v>
      </c>
      <c r="P59" s="12">
        <f t="shared" si="16"/>
        <v>0</v>
      </c>
      <c r="Q59" s="12">
        <f>+P59*4</f>
        <v>0</v>
      </c>
      <c r="R59" s="12">
        <f>+Q59</f>
        <v>0</v>
      </c>
      <c r="S59" s="12">
        <f>+R59</f>
        <v>0</v>
      </c>
      <c r="T59" s="12">
        <f>+S59</f>
        <v>0</v>
      </c>
      <c r="U59" s="12">
        <f>+T59</f>
        <v>0</v>
      </c>
      <c r="V59" s="12">
        <f>+U59</f>
        <v>0</v>
      </c>
    </row>
    <row r="60" spans="1:22" s="2" customFormat="1" ht="12.75">
      <c r="A60" s="31"/>
      <c r="C60" s="150"/>
      <c r="D60" s="13"/>
      <c r="E60" s="13"/>
      <c r="F60" s="13"/>
      <c r="G60" s="13"/>
      <c r="H60" s="296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26" customFormat="1" ht="12.75">
      <c r="A61" s="32" t="s">
        <v>40</v>
      </c>
      <c r="B61" s="25" t="s">
        <v>21</v>
      </c>
      <c r="C61" s="151"/>
      <c r="D61" s="38">
        <f>SUM(D28:D60)</f>
        <v>90.9595</v>
      </c>
      <c r="E61" s="38">
        <f>SUM(E28:E60)</f>
        <v>133.8055</v>
      </c>
      <c r="F61" s="38">
        <f aca="true" t="shared" si="17" ref="F61:R61">SUM(F28:F60)</f>
        <v>54.71000000000002</v>
      </c>
      <c r="G61" s="38">
        <f t="shared" si="17"/>
        <v>107.41050000000001</v>
      </c>
      <c r="H61" s="295">
        <f t="shared" si="17"/>
        <v>53.20800000000001</v>
      </c>
      <c r="I61" s="27">
        <f t="shared" si="17"/>
        <v>64.04306249999999</v>
      </c>
      <c r="J61" s="27">
        <f t="shared" si="17"/>
        <v>51.0430625</v>
      </c>
      <c r="K61" s="27">
        <f t="shared" si="17"/>
        <v>49.8868125</v>
      </c>
      <c r="L61" s="27">
        <f t="shared" si="17"/>
        <v>49.8868125</v>
      </c>
      <c r="M61" s="27">
        <f t="shared" si="17"/>
        <v>66.73056249999999</v>
      </c>
      <c r="N61" s="27">
        <f t="shared" si="17"/>
        <v>53.7305625</v>
      </c>
      <c r="O61" s="27">
        <f t="shared" si="17"/>
        <v>52.863375</v>
      </c>
      <c r="P61" s="27">
        <f t="shared" si="17"/>
        <v>52.863375</v>
      </c>
      <c r="Q61" s="27">
        <f t="shared" si="17"/>
        <v>220.98475</v>
      </c>
      <c r="R61" s="27">
        <f t="shared" si="17"/>
        <v>202.61690197986658</v>
      </c>
      <c r="S61" s="27">
        <f>SUM(S28:S60)</f>
        <v>171.6841112977838</v>
      </c>
      <c r="T61" s="27">
        <f>SUM(T28:T60)</f>
        <v>152.55761378412225</v>
      </c>
      <c r="U61" s="27">
        <f>SUM(U28:U60)</f>
        <v>150.2</v>
      </c>
      <c r="V61" s="27">
        <f>SUM(V28:V60)</f>
        <v>150.2</v>
      </c>
    </row>
    <row r="62" spans="1:22" s="26" customFormat="1" ht="12.75">
      <c r="A62" s="32"/>
      <c r="B62" s="25"/>
      <c r="C62" s="151"/>
      <c r="D62" s="38"/>
      <c r="E62" s="38"/>
      <c r="F62" s="38"/>
      <c r="G62" s="38"/>
      <c r="H62" s="295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s="26" customFormat="1" ht="12.75">
      <c r="A63" s="32"/>
      <c r="B63" s="3" t="s">
        <v>35</v>
      </c>
      <c r="C63" s="145"/>
      <c r="D63" s="157">
        <v>52</v>
      </c>
      <c r="E63" s="38"/>
      <c r="F63" s="38"/>
      <c r="G63" s="38"/>
      <c r="H63" s="295">
        <v>-275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s="2" customFormat="1" ht="12.75">
      <c r="A64" s="31"/>
      <c r="B64" s="3" t="s">
        <v>54</v>
      </c>
      <c r="C64" s="145"/>
      <c r="D64" s="157">
        <v>72</v>
      </c>
      <c r="E64" s="157"/>
      <c r="F64" s="13"/>
      <c r="G64" s="157"/>
      <c r="H64" s="296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6" customFormat="1" ht="13.5" thickBot="1">
      <c r="A65" s="32" t="s">
        <v>41</v>
      </c>
      <c r="B65" s="25" t="s">
        <v>43</v>
      </c>
      <c r="C65" s="152" t="s">
        <v>44</v>
      </c>
      <c r="D65" s="33">
        <f>+D23-D61+D64+D63</f>
        <v>180.15050000000002</v>
      </c>
      <c r="E65" s="142">
        <f aca="true" t="shared" si="18" ref="E65:V65">+E23-E61</f>
        <v>12.194500000000005</v>
      </c>
      <c r="F65" s="142">
        <f t="shared" si="18"/>
        <v>90.48999999999997</v>
      </c>
      <c r="G65" s="142">
        <f t="shared" si="18"/>
        <v>30.389499999999998</v>
      </c>
      <c r="H65" s="243">
        <f>SUM(H61:H64)</f>
        <v>-221.79199999999997</v>
      </c>
      <c r="I65" s="246">
        <f t="shared" si="18"/>
        <v>71.44357425000001</v>
      </c>
      <c r="J65" s="246">
        <f t="shared" si="18"/>
        <v>81.08525286887499</v>
      </c>
      <c r="K65" s="246">
        <f t="shared" si="18"/>
        <v>79.1395668165107</v>
      </c>
      <c r="L65" s="246">
        <f t="shared" si="18"/>
        <v>76.97082915209035</v>
      </c>
      <c r="M65" s="252">
        <f t="shared" si="18"/>
        <v>58.13270546297841</v>
      </c>
      <c r="N65" s="252">
        <f t="shared" si="18"/>
        <v>69.3067998734179</v>
      </c>
      <c r="O65" s="252">
        <f t="shared" si="18"/>
        <v>68.51095338931634</v>
      </c>
      <c r="P65" s="252">
        <f t="shared" si="18"/>
        <v>67.00548162462263</v>
      </c>
      <c r="Q65" s="277">
        <f t="shared" si="18"/>
        <v>258.49067649849053</v>
      </c>
      <c r="R65" s="142">
        <f t="shared" si="18"/>
        <v>275.6972614581846</v>
      </c>
      <c r="S65" s="277">
        <f t="shared" si="18"/>
        <v>326.6103512560327</v>
      </c>
      <c r="T65" s="142">
        <f t="shared" si="18"/>
        <v>383.2089038648081</v>
      </c>
      <c r="U65" s="277">
        <f t="shared" si="18"/>
        <v>439.3751138660994</v>
      </c>
      <c r="V65" s="142">
        <f t="shared" si="18"/>
        <v>501.25499951584385</v>
      </c>
    </row>
    <row r="66" spans="1:22" s="26" customFormat="1" ht="13.5" thickTop="1">
      <c r="A66" s="32"/>
      <c r="B66" s="25"/>
      <c r="C66" s="152"/>
      <c r="D66" s="38"/>
      <c r="E66" s="38"/>
      <c r="F66" s="38"/>
      <c r="G66" s="38"/>
      <c r="H66" s="295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26" customFormat="1" ht="12.75">
      <c r="A67" s="32"/>
      <c r="B67" s="25" t="s">
        <v>136</v>
      </c>
      <c r="C67" s="152"/>
      <c r="D67" s="38"/>
      <c r="E67" s="38"/>
      <c r="F67" s="38"/>
      <c r="G67" s="38"/>
      <c r="H67" s="295">
        <f>-974.2-25</f>
        <v>-999.2</v>
      </c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26" customFormat="1" ht="12.75">
      <c r="A68" s="32"/>
      <c r="B68" s="25"/>
      <c r="C68" s="152"/>
      <c r="D68" s="38"/>
      <c r="E68" s="38"/>
      <c r="F68" s="38"/>
      <c r="G68" s="38"/>
      <c r="H68" s="295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26" customFormat="1" ht="12.75">
      <c r="A69" s="32"/>
      <c r="B69" s="25"/>
      <c r="C69" s="152"/>
      <c r="D69" s="38"/>
      <c r="E69" s="38"/>
      <c r="F69" s="38"/>
      <c r="G69" s="38"/>
      <c r="H69" s="295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2" customFormat="1" ht="12.75">
      <c r="A70" s="31"/>
      <c r="B70" s="3"/>
      <c r="C70" s="145"/>
      <c r="D70" s="157"/>
      <c r="E70" s="157"/>
      <c r="F70" s="157"/>
      <c r="G70" s="157"/>
      <c r="H70" s="291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2.75">
      <c r="B71" s="54" t="s">
        <v>22</v>
      </c>
      <c r="C71" s="4"/>
      <c r="D71" s="158"/>
      <c r="E71" s="193"/>
      <c r="F71" s="193"/>
      <c r="G71" s="193"/>
      <c r="H71" s="297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2.75">
      <c r="A72" s="17" t="s">
        <v>42</v>
      </c>
      <c r="B72" s="1" t="s">
        <v>87</v>
      </c>
      <c r="C72" s="153">
        <v>250</v>
      </c>
      <c r="D72" s="158">
        <v>45</v>
      </c>
      <c r="E72" s="193">
        <v>25</v>
      </c>
      <c r="F72" s="193">
        <v>25</v>
      </c>
      <c r="G72" s="193">
        <v>25</v>
      </c>
      <c r="H72" s="297">
        <v>130</v>
      </c>
      <c r="I72" s="12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2.75">
      <c r="A73" s="17" t="s">
        <v>42</v>
      </c>
      <c r="B73" s="1" t="s">
        <v>88</v>
      </c>
      <c r="C73" s="153">
        <v>16</v>
      </c>
      <c r="D73" s="158">
        <v>16</v>
      </c>
      <c r="E73" s="194">
        <v>-239</v>
      </c>
      <c r="F73" s="193"/>
      <c r="G73" s="193"/>
      <c r="H73" s="297">
        <v>239</v>
      </c>
      <c r="I73" s="12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2.75">
      <c r="A74" s="17" t="s">
        <v>42</v>
      </c>
      <c r="B74" s="1" t="s">
        <v>25</v>
      </c>
      <c r="C74" s="153">
        <v>35</v>
      </c>
      <c r="D74" s="158">
        <v>35</v>
      </c>
      <c r="E74" s="193"/>
      <c r="F74" s="193"/>
      <c r="G74" s="193"/>
      <c r="H74" s="297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2.75">
      <c r="A75" s="17"/>
      <c r="B75" s="1" t="s">
        <v>114</v>
      </c>
      <c r="C75" s="153"/>
      <c r="D75" s="158"/>
      <c r="E75" s="193">
        <v>0.3</v>
      </c>
      <c r="F75" s="193"/>
      <c r="G75" s="193"/>
      <c r="H75" s="29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3.5" thickBot="1">
      <c r="A76" s="17" t="s">
        <v>42</v>
      </c>
      <c r="B76" s="249" t="s">
        <v>34</v>
      </c>
      <c r="C76" s="154"/>
      <c r="D76" s="158"/>
      <c r="E76" s="193"/>
      <c r="F76" s="193"/>
      <c r="G76" s="193"/>
      <c r="H76" s="297">
        <v>184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6.5" thickBot="1">
      <c r="A77" s="17"/>
      <c r="B77" s="260" t="s">
        <v>137</v>
      </c>
      <c r="C77" s="154"/>
      <c r="D77" s="158"/>
      <c r="E77" s="193"/>
      <c r="F77" s="193"/>
      <c r="G77" s="193"/>
      <c r="H77" s="261">
        <v>-107.5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267" customFormat="1" ht="16.5" thickBot="1">
      <c r="A78" s="228"/>
      <c r="B78" s="260" t="s">
        <v>138</v>
      </c>
      <c r="C78" s="262"/>
      <c r="D78" s="263"/>
      <c r="E78" s="264"/>
      <c r="F78" s="264"/>
      <c r="G78" s="264"/>
      <c r="H78" s="261">
        <v>-800</v>
      </c>
      <c r="I78" s="266"/>
      <c r="J78" s="266">
        <v>50</v>
      </c>
      <c r="K78" s="266"/>
      <c r="L78" s="266">
        <v>50</v>
      </c>
      <c r="M78" s="266"/>
      <c r="N78" s="266">
        <v>37.5</v>
      </c>
      <c r="O78" s="266"/>
      <c r="P78" s="266">
        <v>37.5</v>
      </c>
      <c r="Q78" s="266">
        <f>(SUM(O65:P65)+(+Q65*0.5))*0.75</f>
        <v>198.57132994738816</v>
      </c>
      <c r="R78" s="266">
        <f>SUM(Q65)*0.75</f>
        <v>193.8680073738679</v>
      </c>
      <c r="S78" s="266">
        <f>SUM(R65)*0.75</f>
        <v>206.77294609363844</v>
      </c>
      <c r="T78" s="266">
        <v>93.5</v>
      </c>
      <c r="U78" s="266">
        <v>0</v>
      </c>
      <c r="V78" s="266">
        <v>0</v>
      </c>
    </row>
    <row r="79" spans="1:22" ht="12.75">
      <c r="A79" s="17" t="s">
        <v>42</v>
      </c>
      <c r="B79" s="19" t="s">
        <v>14</v>
      </c>
      <c r="C79" s="153"/>
      <c r="D79" s="158"/>
      <c r="E79" s="193"/>
      <c r="F79" s="193"/>
      <c r="G79" s="193"/>
      <c r="H79" s="297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2.75">
      <c r="A80" s="17" t="s">
        <v>42</v>
      </c>
      <c r="B80" s="7" t="s">
        <v>27</v>
      </c>
      <c r="C80" s="154">
        <v>130</v>
      </c>
      <c r="D80" s="158"/>
      <c r="E80" s="193"/>
      <c r="F80" s="193"/>
      <c r="G80" s="193"/>
      <c r="H80" s="297">
        <v>130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2.75">
      <c r="A81" s="17" t="s">
        <v>42</v>
      </c>
      <c r="B81" s="1" t="s">
        <v>26</v>
      </c>
      <c r="C81" s="154">
        <v>125</v>
      </c>
      <c r="D81" s="158"/>
      <c r="E81" s="193"/>
      <c r="F81" s="193"/>
      <c r="G81" s="193"/>
      <c r="H81" s="297">
        <v>125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2.75">
      <c r="A82" s="17" t="s">
        <v>42</v>
      </c>
      <c r="B82" s="1" t="s">
        <v>28</v>
      </c>
      <c r="C82" s="154">
        <v>255</v>
      </c>
      <c r="D82" s="158"/>
      <c r="E82" s="193"/>
      <c r="F82" s="193"/>
      <c r="G82" s="193"/>
      <c r="H82" s="297">
        <v>255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2.75">
      <c r="A83" s="17" t="s">
        <v>42</v>
      </c>
      <c r="B83" s="1" t="s">
        <v>29</v>
      </c>
      <c r="C83" s="154">
        <v>138</v>
      </c>
      <c r="D83" s="158"/>
      <c r="E83" s="193"/>
      <c r="F83" s="193"/>
      <c r="G83" s="193"/>
      <c r="H83" s="297">
        <v>138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2.75">
      <c r="A84" s="17" t="s">
        <v>42</v>
      </c>
      <c r="B84" s="1" t="s">
        <v>30</v>
      </c>
      <c r="C84" s="154">
        <v>320</v>
      </c>
      <c r="D84" s="158"/>
      <c r="E84" s="193"/>
      <c r="F84" s="193"/>
      <c r="G84" s="193"/>
      <c r="H84" s="297">
        <v>320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2.75">
      <c r="A85" s="17" t="s">
        <v>42</v>
      </c>
      <c r="B85" s="1" t="s">
        <v>31</v>
      </c>
      <c r="C85" s="154">
        <v>121</v>
      </c>
      <c r="D85" s="158"/>
      <c r="E85" s="193"/>
      <c r="F85" s="193"/>
      <c r="G85" s="193"/>
      <c r="H85" s="297">
        <v>121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2.75">
      <c r="A86" s="17" t="s">
        <v>42</v>
      </c>
      <c r="B86" s="1" t="s">
        <v>32</v>
      </c>
      <c r="C86" s="154">
        <v>300</v>
      </c>
      <c r="D86" s="158"/>
      <c r="E86" s="193"/>
      <c r="F86" s="193"/>
      <c r="G86" s="193"/>
      <c r="H86" s="297">
        <v>300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2.75">
      <c r="A87" s="17" t="s">
        <v>42</v>
      </c>
      <c r="B87" s="1" t="s">
        <v>33</v>
      </c>
      <c r="C87" s="154">
        <v>17</v>
      </c>
      <c r="D87" s="158"/>
      <c r="E87" s="193"/>
      <c r="F87" s="193"/>
      <c r="G87" s="193"/>
      <c r="H87" s="297">
        <v>17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2:22" ht="12.75">
      <c r="B88" s="19" t="s">
        <v>69</v>
      </c>
      <c r="C88" s="35">
        <f>SUM(C72:C87)</f>
        <v>1707</v>
      </c>
      <c r="D88" s="158"/>
      <c r="E88" s="193"/>
      <c r="F88" s="193"/>
      <c r="G88" s="193"/>
      <c r="H88" s="297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16" customFormat="1" ht="13.5" thickBot="1">
      <c r="A89" s="17" t="s">
        <v>45</v>
      </c>
      <c r="B89" s="16" t="s">
        <v>53</v>
      </c>
      <c r="C89" s="155" t="s">
        <v>51</v>
      </c>
      <c r="D89" s="118">
        <f>-SUM(D70:D88)+D65</f>
        <v>84.15050000000002</v>
      </c>
      <c r="E89" s="244">
        <f>-SUM(E70:E88)+E65</f>
        <v>225.8945</v>
      </c>
      <c r="F89" s="244">
        <f>-SUM(F70:F88)+F65</f>
        <v>65.48999999999997</v>
      </c>
      <c r="G89" s="244">
        <f>-SUM(G70:G88)+G65</f>
        <v>5.389499999999998</v>
      </c>
      <c r="H89" s="245">
        <f>-SUM(H67:H88)+H65</f>
        <v>-274.0919999999999</v>
      </c>
      <c r="I89" s="248">
        <f aca="true" t="shared" si="19" ref="I89:V89">-SUM(I70:I88)+I65</f>
        <v>71.44357425000001</v>
      </c>
      <c r="J89" s="248">
        <f t="shared" si="19"/>
        <v>31.08525286887499</v>
      </c>
      <c r="K89" s="248">
        <f t="shared" si="19"/>
        <v>79.1395668165107</v>
      </c>
      <c r="L89" s="248">
        <f t="shared" si="19"/>
        <v>26.970829152090346</v>
      </c>
      <c r="M89" s="253">
        <f t="shared" si="19"/>
        <v>58.13270546297841</v>
      </c>
      <c r="N89" s="253">
        <f t="shared" si="19"/>
        <v>31.8067998734179</v>
      </c>
      <c r="O89" s="253">
        <f t="shared" si="19"/>
        <v>68.51095338931634</v>
      </c>
      <c r="P89" s="253">
        <f t="shared" si="19"/>
        <v>29.505481624622632</v>
      </c>
      <c r="Q89" s="278">
        <f t="shared" si="19"/>
        <v>59.919346551102365</v>
      </c>
      <c r="R89" s="244">
        <f t="shared" si="19"/>
        <v>81.82925408431669</v>
      </c>
      <c r="S89" s="278">
        <f t="shared" si="19"/>
        <v>119.83740516239425</v>
      </c>
      <c r="T89" s="244">
        <f t="shared" si="19"/>
        <v>289.7089038648081</v>
      </c>
      <c r="U89" s="278">
        <f t="shared" si="19"/>
        <v>439.3751138660994</v>
      </c>
      <c r="V89" s="244">
        <f t="shared" si="19"/>
        <v>501.25499951584385</v>
      </c>
    </row>
    <row r="90" spans="3:22" ht="14.25" thickBot="1" thickTop="1">
      <c r="C90" s="4"/>
      <c r="D90" s="158"/>
      <c r="E90" s="193"/>
      <c r="F90" s="193"/>
      <c r="G90" s="193"/>
      <c r="H90" s="297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76" customFormat="1" ht="13.5" thickBot="1">
      <c r="A91" s="32" t="s">
        <v>52</v>
      </c>
      <c r="B91" s="176" t="s">
        <v>23</v>
      </c>
      <c r="C91" s="216"/>
      <c r="D91" s="215">
        <f>+D89</f>
        <v>84.15050000000002</v>
      </c>
      <c r="E91" s="215">
        <f>+D91+E89</f>
        <v>310.045</v>
      </c>
      <c r="F91" s="215">
        <f aca="true" t="shared" si="20" ref="F91:R91">+E91+F89</f>
        <v>375.53499999999997</v>
      </c>
      <c r="G91" s="215">
        <f t="shared" si="20"/>
        <v>380.92449999999997</v>
      </c>
      <c r="H91" s="298">
        <f t="shared" si="20"/>
        <v>106.83250000000004</v>
      </c>
      <c r="I91" s="217">
        <f t="shared" si="20"/>
        <v>178.27607425000005</v>
      </c>
      <c r="J91" s="217">
        <f t="shared" si="20"/>
        <v>209.36132711887504</v>
      </c>
      <c r="K91" s="217">
        <f t="shared" si="20"/>
        <v>288.50089393538576</v>
      </c>
      <c r="L91" s="215">
        <f t="shared" si="20"/>
        <v>315.4717230874761</v>
      </c>
      <c r="M91" s="215">
        <f t="shared" si="20"/>
        <v>373.6044285504545</v>
      </c>
      <c r="N91" s="215">
        <f t="shared" si="20"/>
        <v>405.4112284238724</v>
      </c>
      <c r="O91" s="215">
        <f t="shared" si="20"/>
        <v>473.92218181318873</v>
      </c>
      <c r="P91" s="215">
        <f t="shared" si="20"/>
        <v>503.42766343781136</v>
      </c>
      <c r="Q91" s="215">
        <f t="shared" si="20"/>
        <v>563.3470099889137</v>
      </c>
      <c r="R91" s="247">
        <f t="shared" si="20"/>
        <v>645.1762640732304</v>
      </c>
      <c r="S91" s="215">
        <f>+R91+S89</f>
        <v>765.0136692356247</v>
      </c>
      <c r="T91" s="215">
        <f>+S91+T89</f>
        <v>1054.7225731004328</v>
      </c>
      <c r="U91" s="215">
        <f>+T91+U89</f>
        <v>1494.0976869665321</v>
      </c>
      <c r="V91" s="215">
        <f>+U91+V89</f>
        <v>1995.352686482376</v>
      </c>
    </row>
    <row r="92" spans="1:22" s="176" customFormat="1" ht="12.75">
      <c r="A92" s="32"/>
      <c r="C92" s="216"/>
      <c r="D92" s="215"/>
      <c r="E92" s="215"/>
      <c r="F92" s="215"/>
      <c r="G92" s="215"/>
      <c r="H92" s="299"/>
      <c r="I92" s="217"/>
      <c r="J92" s="217"/>
      <c r="K92" s="217"/>
      <c r="L92" s="215"/>
      <c r="M92" s="217"/>
      <c r="N92" s="215"/>
      <c r="O92" s="217"/>
      <c r="P92" s="217"/>
      <c r="Q92" s="217"/>
      <c r="R92" s="215"/>
      <c r="S92" s="215"/>
      <c r="T92" s="215"/>
      <c r="U92" s="215"/>
      <c r="V92" s="215"/>
    </row>
    <row r="93" spans="1:22" s="220" customFormat="1" ht="15.75">
      <c r="A93" s="221"/>
      <c r="B93" s="223" t="s">
        <v>128</v>
      </c>
      <c r="C93" s="224"/>
      <c r="D93" s="224">
        <f>-SUM(D71:D87)</f>
        <v>-96</v>
      </c>
      <c r="E93" s="224">
        <f aca="true" t="shared" si="21" ref="E93:V93">-SUM(E71:E87)</f>
        <v>213.7</v>
      </c>
      <c r="F93" s="224">
        <f t="shared" si="21"/>
        <v>-25</v>
      </c>
      <c r="G93" s="224">
        <f t="shared" si="21"/>
        <v>-25</v>
      </c>
      <c r="H93" s="300">
        <f t="shared" si="21"/>
        <v>-1051.5</v>
      </c>
      <c r="I93" s="224">
        <f t="shared" si="21"/>
        <v>0</v>
      </c>
      <c r="J93" s="224">
        <f t="shared" si="21"/>
        <v>-50</v>
      </c>
      <c r="K93" s="224">
        <f t="shared" si="21"/>
        <v>0</v>
      </c>
      <c r="L93" s="224">
        <f t="shared" si="21"/>
        <v>-50</v>
      </c>
      <c r="M93" s="224">
        <f t="shared" si="21"/>
        <v>0</v>
      </c>
      <c r="N93" s="224">
        <f t="shared" si="21"/>
        <v>-37.5</v>
      </c>
      <c r="O93" s="224">
        <f t="shared" si="21"/>
        <v>0</v>
      </c>
      <c r="P93" s="224">
        <f t="shared" si="21"/>
        <v>-37.5</v>
      </c>
      <c r="Q93" s="224">
        <f t="shared" si="21"/>
        <v>-198.57132994738816</v>
      </c>
      <c r="R93" s="224">
        <f t="shared" si="21"/>
        <v>-193.8680073738679</v>
      </c>
      <c r="S93" s="224">
        <f t="shared" si="21"/>
        <v>-206.77294609363844</v>
      </c>
      <c r="T93" s="224">
        <f t="shared" si="21"/>
        <v>-93.5</v>
      </c>
      <c r="U93" s="224">
        <f t="shared" si="21"/>
        <v>0</v>
      </c>
      <c r="V93" s="225">
        <f t="shared" si="21"/>
        <v>0</v>
      </c>
    </row>
    <row r="94" spans="1:22" s="232" customFormat="1" ht="16.5" thickBot="1">
      <c r="A94" s="228"/>
      <c r="B94" s="223" t="s">
        <v>127</v>
      </c>
      <c r="C94" s="224">
        <v>1891</v>
      </c>
      <c r="D94" s="224">
        <f>+C94+D93</f>
        <v>1795</v>
      </c>
      <c r="E94" s="224">
        <f aca="true" t="shared" si="22" ref="E94:V94">+D94+E93</f>
        <v>2008.7</v>
      </c>
      <c r="F94" s="224">
        <f t="shared" si="22"/>
        <v>1983.7</v>
      </c>
      <c r="G94" s="224">
        <f t="shared" si="22"/>
        <v>1958.7</v>
      </c>
      <c r="H94" s="301">
        <f t="shared" si="22"/>
        <v>907.2</v>
      </c>
      <c r="I94" s="224">
        <f t="shared" si="22"/>
        <v>907.2</v>
      </c>
      <c r="J94" s="224">
        <f t="shared" si="22"/>
        <v>857.2</v>
      </c>
      <c r="K94" s="224">
        <f t="shared" si="22"/>
        <v>857.2</v>
      </c>
      <c r="L94" s="224">
        <f t="shared" si="22"/>
        <v>807.2</v>
      </c>
      <c r="M94" s="224">
        <f t="shared" si="22"/>
        <v>807.2</v>
      </c>
      <c r="N94" s="224">
        <f t="shared" si="22"/>
        <v>769.7</v>
      </c>
      <c r="O94" s="224">
        <f t="shared" si="22"/>
        <v>769.7</v>
      </c>
      <c r="P94" s="224">
        <f t="shared" si="22"/>
        <v>732.2</v>
      </c>
      <c r="Q94" s="224">
        <f t="shared" si="22"/>
        <v>533.6286700526118</v>
      </c>
      <c r="R94" s="224">
        <f t="shared" si="22"/>
        <v>339.7606626787439</v>
      </c>
      <c r="S94" s="224">
        <f t="shared" si="22"/>
        <v>132.9877165851055</v>
      </c>
      <c r="T94" s="224">
        <f t="shared" si="22"/>
        <v>39.48771658510549</v>
      </c>
      <c r="U94" s="224">
        <f t="shared" si="22"/>
        <v>39.48771658510549</v>
      </c>
      <c r="V94" s="225">
        <f t="shared" si="22"/>
        <v>39.48771658510549</v>
      </c>
    </row>
    <row r="95" spans="1:22" s="16" customFormat="1" ht="12.75">
      <c r="A95" s="17"/>
      <c r="D95" s="105"/>
      <c r="E95" s="36"/>
      <c r="F95" s="36"/>
      <c r="G95" s="36"/>
      <c r="H95" s="36"/>
      <c r="I95" s="36"/>
      <c r="J95" s="36"/>
      <c r="K95" s="36"/>
      <c r="L95" s="105"/>
      <c r="M95" s="36"/>
      <c r="N95" s="105"/>
      <c r="O95" s="36"/>
      <c r="P95" s="36"/>
      <c r="Q95" s="36"/>
      <c r="R95" s="36"/>
      <c r="S95" s="36"/>
      <c r="T95" s="36"/>
      <c r="U95" s="36"/>
      <c r="V95" s="36"/>
    </row>
    <row r="96" ht="15.75">
      <c r="B96" s="268" t="s">
        <v>50</v>
      </c>
    </row>
    <row r="97" ht="15.75">
      <c r="B97" s="268"/>
    </row>
    <row r="98" ht="15.75">
      <c r="B98" s="268"/>
    </row>
    <row r="99" ht="12.75"/>
    <row r="100" spans="1:22" s="281" customFormat="1" ht="15.75">
      <c r="A100" s="280"/>
      <c r="B100" s="281" t="s">
        <v>146</v>
      </c>
      <c r="D100" s="232">
        <v>27.995</v>
      </c>
      <c r="E100" s="232">
        <f>+D100</f>
        <v>27.995</v>
      </c>
      <c r="F100" s="232">
        <f>+E100</f>
        <v>27.995</v>
      </c>
      <c r="G100" s="232">
        <f>+F100</f>
        <v>27.995</v>
      </c>
      <c r="H100" s="232">
        <v>27.995</v>
      </c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</row>
    <row r="101" s="281" customFormat="1" ht="15">
      <c r="A101" s="280"/>
    </row>
    <row r="102" spans="1:22" s="281" customFormat="1" ht="15.75" thickBot="1">
      <c r="A102" s="280"/>
      <c r="B102" s="281" t="s">
        <v>147</v>
      </c>
      <c r="E102" s="282">
        <v>-2869.3</v>
      </c>
      <c r="F102" s="282">
        <v>67.7</v>
      </c>
      <c r="G102" s="282">
        <v>24</v>
      </c>
      <c r="H102" s="282">
        <v>823.5</v>
      </c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</row>
    <row r="103" spans="1:22" s="281" customFormat="1" ht="15">
      <c r="A103" s="280"/>
      <c r="B103" s="317" t="s">
        <v>150</v>
      </c>
      <c r="C103" s="318"/>
      <c r="D103" s="318"/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20"/>
    </row>
    <row r="104" spans="1:22" s="281" customFormat="1" ht="15">
      <c r="A104" s="280"/>
      <c r="B104" s="321" t="s">
        <v>161</v>
      </c>
      <c r="C104" s="322"/>
      <c r="D104" s="322"/>
      <c r="E104" s="323">
        <f>146-30</f>
        <v>116</v>
      </c>
      <c r="F104" s="323">
        <f>145.2-24.2</f>
        <v>120.99999999999999</v>
      </c>
      <c r="G104" s="323">
        <f>137.775-26.6</f>
        <v>111.17500000000001</v>
      </c>
      <c r="H104" s="323">
        <f>141.56-23.4</f>
        <v>118.16</v>
      </c>
      <c r="I104" s="323"/>
      <c r="J104" s="323"/>
      <c r="K104" s="323"/>
      <c r="L104" s="324"/>
      <c r="M104" s="323"/>
      <c r="N104" s="323"/>
      <c r="O104" s="323"/>
      <c r="P104" s="323"/>
      <c r="Q104" s="323"/>
      <c r="R104" s="323"/>
      <c r="S104" s="323"/>
      <c r="T104" s="323"/>
      <c r="U104" s="323"/>
      <c r="V104" s="325"/>
    </row>
    <row r="105" spans="1:22" s="281" customFormat="1" ht="15">
      <c r="A105" s="280"/>
      <c r="B105" s="321"/>
      <c r="C105" s="322"/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6"/>
    </row>
    <row r="106" spans="1:22" s="285" customFormat="1" ht="16.5" thickBot="1">
      <c r="A106" s="284"/>
      <c r="B106" s="327" t="s">
        <v>148</v>
      </c>
      <c r="C106" s="328"/>
      <c r="D106" s="328"/>
      <c r="E106" s="328"/>
      <c r="F106" s="329">
        <f>+(F104*4)/F$100</f>
        <v>17.288801571709232</v>
      </c>
      <c r="G106" s="329">
        <f>+(G104*4)/G$100</f>
        <v>15.884979460617968</v>
      </c>
      <c r="H106" s="329">
        <f>+(H104*4)/H$100</f>
        <v>16.883014824075726</v>
      </c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30"/>
    </row>
    <row r="107" s="281" customFormat="1" ht="15">
      <c r="A107" s="280"/>
    </row>
    <row r="108" spans="1:8" s="285" customFormat="1" ht="15.75">
      <c r="A108" s="284"/>
      <c r="B108" s="285" t="s">
        <v>149</v>
      </c>
      <c r="E108" s="286">
        <f>+E23/E$100*4</f>
        <v>20.860868012145026</v>
      </c>
      <c r="F108" s="286">
        <f>+F23/F$100*4</f>
        <v>20.74656188605108</v>
      </c>
      <c r="G108" s="286">
        <f>+G23/G$100*4</f>
        <v>19.689230219682088</v>
      </c>
      <c r="H108" s="286">
        <f>+H23/H$100*4</f>
        <v>20.225040185747456</v>
      </c>
    </row>
    <row r="109" ht="12.75"/>
    <row r="110" spans="1:22" s="96" customFormat="1" ht="15.75">
      <c r="A110" s="302"/>
      <c r="B110" s="303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5"/>
    </row>
    <row r="111" spans="1:22" s="96" customFormat="1" ht="15.75">
      <c r="A111" s="302"/>
      <c r="B111" s="306" t="s">
        <v>152</v>
      </c>
      <c r="C111" s="307"/>
      <c r="D111" s="307"/>
      <c r="E111" s="307"/>
      <c r="F111" s="307"/>
      <c r="G111" s="307"/>
      <c r="H111" s="308">
        <v>61.75</v>
      </c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9"/>
    </row>
    <row r="112" spans="1:22" s="96" customFormat="1" ht="15.75">
      <c r="A112" s="302"/>
      <c r="B112" s="306" t="s">
        <v>153</v>
      </c>
      <c r="C112" s="307"/>
      <c r="D112" s="307"/>
      <c r="E112" s="307"/>
      <c r="F112" s="307"/>
      <c r="G112" s="307"/>
      <c r="H112" s="308">
        <v>47.98</v>
      </c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9"/>
    </row>
    <row r="113" spans="1:22" s="96" customFormat="1" ht="15.75">
      <c r="A113" s="302"/>
      <c r="B113" s="306"/>
      <c r="C113" s="307"/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9"/>
    </row>
    <row r="114" spans="1:22" s="96" customFormat="1" ht="15.75">
      <c r="A114" s="302"/>
      <c r="B114" s="306" t="s">
        <v>154</v>
      </c>
      <c r="C114" s="307"/>
      <c r="D114" s="307"/>
      <c r="E114" s="307"/>
      <c r="F114" s="307"/>
      <c r="G114" s="307"/>
      <c r="H114" s="310">
        <f>+H111/$H$100</f>
        <v>2.2057510269691014</v>
      </c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  <c r="S114" s="307"/>
      <c r="T114" s="307"/>
      <c r="U114" s="307"/>
      <c r="V114" s="309"/>
    </row>
    <row r="115" spans="1:22" s="96" customFormat="1" ht="15.75">
      <c r="A115" s="302"/>
      <c r="B115" s="311" t="s">
        <v>155</v>
      </c>
      <c r="C115" s="312"/>
      <c r="D115" s="312"/>
      <c r="E115" s="312"/>
      <c r="F115" s="312"/>
      <c r="G115" s="312"/>
      <c r="H115" s="313">
        <f>+H112/$H$100</f>
        <v>1.7138774781210928</v>
      </c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4"/>
    </row>
    <row r="116" s="16" customFormat="1" ht="12.75">
      <c r="A116" s="17"/>
    </row>
    <row r="117" ht="20.25">
      <c r="B117" s="316" t="s">
        <v>156</v>
      </c>
    </row>
    <row r="118" ht="20.25">
      <c r="B118" s="315" t="s">
        <v>158</v>
      </c>
    </row>
    <row r="119" ht="20.25">
      <c r="B119" s="315" t="s">
        <v>159</v>
      </c>
    </row>
    <row r="120" ht="20.25">
      <c r="B120" s="315" t="s">
        <v>157</v>
      </c>
    </row>
  </sheetData>
  <sheetProtection/>
  <printOptions/>
  <pageMargins left="0.75" right="0.75" top="1" bottom="1" header="0.5" footer="0.5"/>
  <pageSetup orientation="portrait" paperSize="9" r:id="rId3"/>
  <ignoredErrors>
    <ignoredError sqref="H65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</cols>
  <sheetData>
    <row r="1" spans="2:12" ht="32.25" thickBot="1">
      <c r="B1" s="113" t="s">
        <v>130</v>
      </c>
      <c r="G1" s="98"/>
      <c r="H1" s="65"/>
      <c r="I1" s="64"/>
      <c r="J1" s="65" t="s">
        <v>108</v>
      </c>
      <c r="K1" s="64"/>
      <c r="L1" s="64"/>
    </row>
    <row r="2" spans="1:13" s="98" customFormat="1" ht="36" customHeight="1" thickBot="1">
      <c r="A2" s="31"/>
      <c r="B2" s="97"/>
      <c r="G2" s="269"/>
      <c r="H2" s="270"/>
      <c r="I2" s="271"/>
      <c r="J2" s="272" t="s">
        <v>133</v>
      </c>
      <c r="K2" s="271"/>
      <c r="L2" s="271"/>
      <c r="M2" s="273"/>
    </row>
    <row r="3" spans="2:6" ht="20.25">
      <c r="B3" s="114" t="s">
        <v>110</v>
      </c>
      <c r="C3" s="95"/>
      <c r="D3" s="185"/>
      <c r="E3" s="104"/>
      <c r="F3" s="96"/>
    </row>
    <row r="4" spans="1:22" s="19" customFormat="1" ht="16.5" thickBot="1">
      <c r="A4" s="17"/>
      <c r="C4" s="144"/>
      <c r="D4" s="175" t="s">
        <v>20</v>
      </c>
      <c r="E4" s="160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74">
        <v>2015</v>
      </c>
      <c r="R4" s="279">
        <v>2016</v>
      </c>
      <c r="S4" s="274">
        <v>2017</v>
      </c>
      <c r="T4" s="279">
        <v>2018</v>
      </c>
      <c r="U4" s="274">
        <v>2019</v>
      </c>
      <c r="V4" s="279">
        <v>2020</v>
      </c>
    </row>
    <row r="5" spans="2:22" s="129" customFormat="1" ht="17.25" thickBot="1">
      <c r="B5" s="136" t="s">
        <v>105</v>
      </c>
      <c r="C5" s="137"/>
      <c r="D5" s="137"/>
      <c r="E5" s="138"/>
      <c r="F5" s="138"/>
      <c r="G5" s="138"/>
      <c r="H5" s="139">
        <v>0.0225</v>
      </c>
      <c r="I5" s="138">
        <f aca="true" t="shared" si="0" ref="I5:O6">+H5</f>
        <v>0.0225</v>
      </c>
      <c r="J5" s="138">
        <f t="shared" si="0"/>
        <v>0.0225</v>
      </c>
      <c r="K5" s="138">
        <f t="shared" si="0"/>
        <v>0.0225</v>
      </c>
      <c r="L5" s="139">
        <f t="shared" si="0"/>
        <v>0.0225</v>
      </c>
      <c r="M5" s="181">
        <f t="shared" si="0"/>
        <v>0.0225</v>
      </c>
      <c r="N5" s="138">
        <f t="shared" si="0"/>
        <v>0.0225</v>
      </c>
      <c r="O5" s="138">
        <f t="shared" si="0"/>
        <v>0.0225</v>
      </c>
      <c r="P5" s="139">
        <f>+O5</f>
        <v>0.0225</v>
      </c>
      <c r="Q5" s="179">
        <v>0.15</v>
      </c>
      <c r="R5" s="179">
        <v>0.15</v>
      </c>
      <c r="S5" s="139">
        <v>0.15</v>
      </c>
      <c r="T5" s="139">
        <v>0.15</v>
      </c>
      <c r="U5" s="139">
        <v>0.15</v>
      </c>
      <c r="V5" s="139">
        <v>0.15</v>
      </c>
    </row>
    <row r="6" spans="2:22" s="129" customFormat="1" ht="17.25" thickBot="1">
      <c r="B6" s="130" t="s">
        <v>106</v>
      </c>
      <c r="C6" s="131"/>
      <c r="D6" s="131"/>
      <c r="E6" s="138"/>
      <c r="F6" s="132"/>
      <c r="G6" s="132"/>
      <c r="H6" s="133">
        <v>-0.044</v>
      </c>
      <c r="I6" s="182">
        <f t="shared" si="0"/>
        <v>-0.044</v>
      </c>
      <c r="J6" s="132">
        <f t="shared" si="0"/>
        <v>-0.044</v>
      </c>
      <c r="K6" s="132">
        <f t="shared" si="0"/>
        <v>-0.044</v>
      </c>
      <c r="L6" s="133">
        <f t="shared" si="0"/>
        <v>-0.044</v>
      </c>
      <c r="M6" s="182">
        <f t="shared" si="0"/>
        <v>-0.044</v>
      </c>
      <c r="N6" s="132">
        <f t="shared" si="0"/>
        <v>-0.044</v>
      </c>
      <c r="O6" s="132">
        <f t="shared" si="0"/>
        <v>-0.044</v>
      </c>
      <c r="P6" s="133">
        <f>+O6</f>
        <v>-0.044</v>
      </c>
      <c r="Q6" s="180">
        <v>-0.15</v>
      </c>
      <c r="R6" s="180">
        <v>-0.15</v>
      </c>
      <c r="S6" s="133">
        <v>-0.1</v>
      </c>
      <c r="T6" s="133">
        <v>-0.05</v>
      </c>
      <c r="U6" s="133">
        <v>0</v>
      </c>
      <c r="V6" s="133">
        <v>0</v>
      </c>
    </row>
    <row r="7" spans="2:7" ht="20.25">
      <c r="B7" s="94"/>
      <c r="C7" s="95"/>
      <c r="D7" s="95"/>
      <c r="E7" s="104"/>
      <c r="F7" s="238"/>
      <c r="G7" s="256"/>
    </row>
    <row r="8" spans="1:7" s="16" customFormat="1" ht="15.75">
      <c r="A8" s="17"/>
      <c r="D8" s="155"/>
      <c r="E8" s="189"/>
      <c r="F8" s="189"/>
      <c r="G8" s="199" t="s">
        <v>56</v>
      </c>
    </row>
    <row r="9" spans="1:22" s="19" customFormat="1" ht="12.75">
      <c r="A9" s="17"/>
      <c r="C9" s="144" t="s">
        <v>36</v>
      </c>
      <c r="D9" s="175" t="s">
        <v>20</v>
      </c>
      <c r="E9" s="239" t="s">
        <v>1</v>
      </c>
      <c r="F9" s="239" t="s">
        <v>2</v>
      </c>
      <c r="G9" s="200" t="s">
        <v>3</v>
      </c>
      <c r="H9" s="20" t="s">
        <v>4</v>
      </c>
      <c r="I9" s="21" t="s">
        <v>5</v>
      </c>
      <c r="J9" s="21" t="s">
        <v>6</v>
      </c>
      <c r="K9" s="21" t="s">
        <v>7</v>
      </c>
      <c r="L9" s="21" t="s">
        <v>8</v>
      </c>
      <c r="M9" s="22" t="s">
        <v>9</v>
      </c>
      <c r="N9" s="22" t="s">
        <v>10</v>
      </c>
      <c r="O9" s="22" t="s">
        <v>11</v>
      </c>
      <c r="P9" s="22" t="s">
        <v>12</v>
      </c>
      <c r="Q9" s="275">
        <v>2015</v>
      </c>
      <c r="R9" s="19">
        <v>2016</v>
      </c>
      <c r="S9" s="19">
        <v>2017</v>
      </c>
      <c r="T9" s="19">
        <v>2018</v>
      </c>
      <c r="U9" s="19">
        <v>2019</v>
      </c>
      <c r="V9" s="19">
        <v>2020</v>
      </c>
    </row>
    <row r="10" spans="1:7" s="2" customFormat="1" ht="12.75">
      <c r="A10" s="31"/>
      <c r="B10" s="53" t="s">
        <v>57</v>
      </c>
      <c r="C10" s="145"/>
      <c r="D10" s="149"/>
      <c r="E10" s="149"/>
      <c r="F10" s="149"/>
      <c r="G10" s="201"/>
    </row>
    <row r="11" spans="1:7" s="2" customFormat="1" ht="12.75">
      <c r="A11" s="31"/>
      <c r="B11" s="103"/>
      <c r="C11" s="145"/>
      <c r="D11" s="149"/>
      <c r="E11" s="149"/>
      <c r="F11" s="149"/>
      <c r="G11" s="201"/>
    </row>
    <row r="12" spans="1:22" s="2" customFormat="1" ht="12.75">
      <c r="A12" s="31"/>
      <c r="B12" s="72" t="s">
        <v>73</v>
      </c>
      <c r="C12" s="145"/>
      <c r="D12" s="157">
        <v>90</v>
      </c>
      <c r="E12" s="157">
        <v>85.9</v>
      </c>
      <c r="F12" s="157">
        <v>89.7</v>
      </c>
      <c r="G12" s="202">
        <v>92</v>
      </c>
      <c r="H12" s="12">
        <f aca="true" t="shared" si="1" ref="H12:P12">+G12*(1+H13)</f>
        <v>94.07</v>
      </c>
      <c r="I12" s="12">
        <f t="shared" si="1"/>
        <v>96.18657499999999</v>
      </c>
      <c r="J12" s="12">
        <f t="shared" si="1"/>
        <v>98.35077293749998</v>
      </c>
      <c r="K12" s="12">
        <f t="shared" si="1"/>
        <v>100.56366532859373</v>
      </c>
      <c r="L12" s="12">
        <f t="shared" si="1"/>
        <v>102.82634779848708</v>
      </c>
      <c r="M12" s="12">
        <f t="shared" si="1"/>
        <v>105.13994062395304</v>
      </c>
      <c r="N12" s="12">
        <f t="shared" si="1"/>
        <v>107.50558928799198</v>
      </c>
      <c r="O12" s="12">
        <f t="shared" si="1"/>
        <v>109.92446504697179</v>
      </c>
      <c r="P12" s="12">
        <f t="shared" si="1"/>
        <v>112.39776551052866</v>
      </c>
      <c r="Q12" s="12">
        <f>+P12*4</f>
        <v>449.59106204211463</v>
      </c>
      <c r="R12" s="12">
        <f>+Q12*(1+R13)</f>
        <v>517.0297213484317</v>
      </c>
      <c r="S12" s="12">
        <f>+R12*(1+S13)</f>
        <v>594.5841795506965</v>
      </c>
      <c r="T12" s="12">
        <f>+S12*(1+T13)</f>
        <v>683.7718064833009</v>
      </c>
      <c r="U12" s="12">
        <f>+T12*(1+U13)</f>
        <v>786.337577455796</v>
      </c>
      <c r="V12" s="12">
        <f>+U12*(1+V13)</f>
        <v>904.2882140741654</v>
      </c>
    </row>
    <row r="13" spans="1:22" s="2" customFormat="1" ht="12.75">
      <c r="A13" s="31"/>
      <c r="B13" s="73" t="s">
        <v>76</v>
      </c>
      <c r="C13" s="146"/>
      <c r="D13" s="146"/>
      <c r="E13" s="190"/>
      <c r="F13" s="190"/>
      <c r="G13" s="203"/>
      <c r="H13" s="77">
        <f aca="true" t="shared" si="2" ref="H13:R13">+H5</f>
        <v>0.0225</v>
      </c>
      <c r="I13" s="77">
        <f t="shared" si="2"/>
        <v>0.0225</v>
      </c>
      <c r="J13" s="77">
        <f t="shared" si="2"/>
        <v>0.0225</v>
      </c>
      <c r="K13" s="77">
        <f t="shared" si="2"/>
        <v>0.0225</v>
      </c>
      <c r="L13" s="77">
        <f t="shared" si="2"/>
        <v>0.0225</v>
      </c>
      <c r="M13" s="77">
        <f t="shared" si="2"/>
        <v>0.0225</v>
      </c>
      <c r="N13" s="77">
        <f t="shared" si="2"/>
        <v>0.0225</v>
      </c>
      <c r="O13" s="77">
        <f t="shared" si="2"/>
        <v>0.0225</v>
      </c>
      <c r="P13" s="77">
        <f t="shared" si="2"/>
        <v>0.0225</v>
      </c>
      <c r="Q13" s="77">
        <f t="shared" si="2"/>
        <v>0.15</v>
      </c>
      <c r="R13" s="77">
        <f t="shared" si="2"/>
        <v>0.15</v>
      </c>
      <c r="S13" s="77">
        <f>+S5</f>
        <v>0.15</v>
      </c>
      <c r="T13" s="77">
        <f>+T5</f>
        <v>0.15</v>
      </c>
      <c r="U13" s="77">
        <f>+U5</f>
        <v>0.15</v>
      </c>
      <c r="V13" s="77">
        <f>+V5</f>
        <v>0.15</v>
      </c>
    </row>
    <row r="14" spans="1:22" s="111" customFormat="1" ht="12.75">
      <c r="A14" s="109"/>
      <c r="B14" s="110" t="s">
        <v>122</v>
      </c>
      <c r="C14" s="107"/>
      <c r="D14" s="107">
        <v>0.394</v>
      </c>
      <c r="E14" s="107">
        <v>0.4</v>
      </c>
      <c r="F14" s="107">
        <f aca="true" t="shared" si="3" ref="F14:R14">+E14</f>
        <v>0.4</v>
      </c>
      <c r="G14" s="204">
        <f t="shared" si="3"/>
        <v>0.4</v>
      </c>
      <c r="H14" s="111">
        <f t="shared" si="3"/>
        <v>0.4</v>
      </c>
      <c r="I14" s="111">
        <f t="shared" si="3"/>
        <v>0.4</v>
      </c>
      <c r="J14" s="111">
        <f t="shared" si="3"/>
        <v>0.4</v>
      </c>
      <c r="K14" s="111">
        <f t="shared" si="3"/>
        <v>0.4</v>
      </c>
      <c r="L14" s="111">
        <f t="shared" si="3"/>
        <v>0.4</v>
      </c>
      <c r="M14" s="111">
        <f t="shared" si="3"/>
        <v>0.4</v>
      </c>
      <c r="N14" s="111">
        <f t="shared" si="3"/>
        <v>0.4</v>
      </c>
      <c r="O14" s="111">
        <f t="shared" si="3"/>
        <v>0.4</v>
      </c>
      <c r="P14" s="111">
        <f t="shared" si="3"/>
        <v>0.4</v>
      </c>
      <c r="Q14" s="111">
        <f t="shared" si="3"/>
        <v>0.4</v>
      </c>
      <c r="R14" s="111">
        <f t="shared" si="3"/>
        <v>0.4</v>
      </c>
      <c r="S14" s="111">
        <f>+R14</f>
        <v>0.4</v>
      </c>
      <c r="T14" s="111">
        <f>+S14</f>
        <v>0.4</v>
      </c>
      <c r="U14" s="111">
        <f>+T14</f>
        <v>0.4</v>
      </c>
      <c r="V14" s="111">
        <f>+U14</f>
        <v>0.4</v>
      </c>
    </row>
    <row r="15" spans="1:22" s="2" customFormat="1" ht="12.75">
      <c r="A15" s="31"/>
      <c r="B15" s="26" t="s">
        <v>75</v>
      </c>
      <c r="C15" s="145"/>
      <c r="D15" s="80">
        <f>+D12*D14</f>
        <v>35.46</v>
      </c>
      <c r="E15" s="80">
        <f>+E12*E14</f>
        <v>34.36000000000001</v>
      </c>
      <c r="F15" s="80">
        <f aca="true" t="shared" si="4" ref="F15:R15">+F12*F14</f>
        <v>35.88</v>
      </c>
      <c r="G15" s="205">
        <f t="shared" si="4"/>
        <v>36.800000000000004</v>
      </c>
      <c r="H15" s="80">
        <f t="shared" si="4"/>
        <v>37.628</v>
      </c>
      <c r="I15" s="80">
        <f t="shared" si="4"/>
        <v>38.47463</v>
      </c>
      <c r="J15" s="80">
        <f t="shared" si="4"/>
        <v>39.340309174999994</v>
      </c>
      <c r="K15" s="80">
        <f t="shared" si="4"/>
        <v>40.22546613143749</v>
      </c>
      <c r="L15" s="80">
        <f t="shared" si="4"/>
        <v>41.13053911939483</v>
      </c>
      <c r="M15" s="80">
        <f t="shared" si="4"/>
        <v>42.05597624958122</v>
      </c>
      <c r="N15" s="80">
        <f t="shared" si="4"/>
        <v>43.0022357151968</v>
      </c>
      <c r="O15" s="80">
        <f t="shared" si="4"/>
        <v>43.96978601878872</v>
      </c>
      <c r="P15" s="80">
        <f t="shared" si="4"/>
        <v>44.959106204211466</v>
      </c>
      <c r="Q15" s="80">
        <f t="shared" si="4"/>
        <v>179.83642481684586</v>
      </c>
      <c r="R15" s="80">
        <f t="shared" si="4"/>
        <v>206.81188853937272</v>
      </c>
      <c r="S15" s="80">
        <f>+S12*S14</f>
        <v>237.8336718202786</v>
      </c>
      <c r="T15" s="80">
        <f>+T12*T14</f>
        <v>273.5087225933204</v>
      </c>
      <c r="U15" s="80">
        <f>+U12*U14</f>
        <v>314.5350309823184</v>
      </c>
      <c r="V15" s="80">
        <f>+V12*V14</f>
        <v>361.71528562966614</v>
      </c>
    </row>
    <row r="16" spans="1:22" s="2" customFormat="1" ht="12.75">
      <c r="A16" s="31"/>
      <c r="B16" s="72"/>
      <c r="C16" s="145"/>
      <c r="D16" s="157"/>
      <c r="E16" s="157"/>
      <c r="F16" s="157"/>
      <c r="G16" s="20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2" customFormat="1" ht="12.75">
      <c r="A17" s="31"/>
      <c r="B17" s="72" t="s">
        <v>74</v>
      </c>
      <c r="C17" s="145"/>
      <c r="D17" s="157">
        <v>223.3</v>
      </c>
      <c r="E17" s="157">
        <f>+E22-E12</f>
        <v>203.20000000000002</v>
      </c>
      <c r="F17" s="157">
        <f>+F22-F12</f>
        <v>196.8</v>
      </c>
      <c r="G17" s="202">
        <f>+G22-G12</f>
        <v>175.7</v>
      </c>
      <c r="H17" s="12">
        <f aca="true" t="shared" si="5" ref="H17:R17">+G17*(1+H18)</f>
        <v>167.96919999999997</v>
      </c>
      <c r="I17" s="12">
        <f t="shared" si="5"/>
        <v>160.57855519999995</v>
      </c>
      <c r="J17" s="12">
        <f t="shared" si="5"/>
        <v>153.51309877119996</v>
      </c>
      <c r="K17" s="12">
        <f t="shared" si="5"/>
        <v>146.75852242526716</v>
      </c>
      <c r="L17" s="12">
        <f t="shared" si="5"/>
        <v>140.3011474385554</v>
      </c>
      <c r="M17" s="12">
        <f t="shared" si="5"/>
        <v>134.12789695125895</v>
      </c>
      <c r="N17" s="12">
        <f t="shared" si="5"/>
        <v>128.22626948540355</v>
      </c>
      <c r="O17" s="12">
        <f t="shared" si="5"/>
        <v>122.58431362804579</v>
      </c>
      <c r="P17" s="12">
        <f t="shared" si="5"/>
        <v>117.19060382841177</v>
      </c>
      <c r="Q17" s="12">
        <f>+P17*4</f>
        <v>468.76241531364707</v>
      </c>
      <c r="R17" s="12">
        <f t="shared" si="5"/>
        <v>398.4480530166</v>
      </c>
      <c r="S17" s="12">
        <f>+R17*(1+S18)</f>
        <v>358.60324771494</v>
      </c>
      <c r="T17" s="12">
        <f>+S17*(1+T18)</f>
        <v>340.673085329193</v>
      </c>
      <c r="U17" s="12">
        <f>+T17*(1+U18)</f>
        <v>340.673085329193</v>
      </c>
      <c r="V17" s="12">
        <f>+U17*(1+V18)</f>
        <v>340.673085329193</v>
      </c>
    </row>
    <row r="18" spans="1:22" s="2" customFormat="1" ht="12.75">
      <c r="A18" s="31"/>
      <c r="B18" s="73" t="s">
        <v>79</v>
      </c>
      <c r="C18" s="145"/>
      <c r="D18" s="157"/>
      <c r="E18" s="191"/>
      <c r="F18" s="191"/>
      <c r="G18" s="206"/>
      <c r="H18" s="78">
        <f aca="true" t="shared" si="6" ref="H18:R18">+H6</f>
        <v>-0.044</v>
      </c>
      <c r="I18" s="78">
        <f t="shared" si="6"/>
        <v>-0.044</v>
      </c>
      <c r="J18" s="78">
        <f t="shared" si="6"/>
        <v>-0.044</v>
      </c>
      <c r="K18" s="78">
        <f t="shared" si="6"/>
        <v>-0.044</v>
      </c>
      <c r="L18" s="78">
        <f t="shared" si="6"/>
        <v>-0.044</v>
      </c>
      <c r="M18" s="78">
        <f t="shared" si="6"/>
        <v>-0.044</v>
      </c>
      <c r="N18" s="78">
        <f t="shared" si="6"/>
        <v>-0.044</v>
      </c>
      <c r="O18" s="78">
        <f t="shared" si="6"/>
        <v>-0.044</v>
      </c>
      <c r="P18" s="78">
        <f t="shared" si="6"/>
        <v>-0.044</v>
      </c>
      <c r="Q18" s="78">
        <f t="shared" si="6"/>
        <v>-0.15</v>
      </c>
      <c r="R18" s="78">
        <f t="shared" si="6"/>
        <v>-0.15</v>
      </c>
      <c r="S18" s="78">
        <f>+S6</f>
        <v>-0.1</v>
      </c>
      <c r="T18" s="78">
        <f>+T6</f>
        <v>-0.05</v>
      </c>
      <c r="U18" s="78">
        <f>+U6</f>
        <v>0</v>
      </c>
      <c r="V18" s="78">
        <f>+V6</f>
        <v>0</v>
      </c>
    </row>
    <row r="19" spans="1:22" s="111" customFormat="1" ht="12.75">
      <c r="A19" s="109"/>
      <c r="B19" s="110" t="s">
        <v>122</v>
      </c>
      <c r="C19" s="147"/>
      <c r="D19" s="107">
        <v>0.5</v>
      </c>
      <c r="E19" s="107">
        <v>0.55</v>
      </c>
      <c r="F19" s="107">
        <v>0.56</v>
      </c>
      <c r="G19" s="204">
        <v>0.545</v>
      </c>
      <c r="H19" s="107">
        <v>0.54</v>
      </c>
      <c r="I19" s="107">
        <v>0.54</v>
      </c>
      <c r="J19" s="107">
        <v>0.535</v>
      </c>
      <c r="K19" s="107">
        <v>0.53</v>
      </c>
      <c r="L19" s="107">
        <v>0.53</v>
      </c>
      <c r="M19" s="107">
        <v>0.53</v>
      </c>
      <c r="N19" s="107">
        <v>0.53</v>
      </c>
      <c r="O19" s="107">
        <v>0.53</v>
      </c>
      <c r="P19" s="107">
        <v>0.53</v>
      </c>
      <c r="Q19" s="107">
        <v>0.53</v>
      </c>
      <c r="R19" s="107">
        <v>0.53</v>
      </c>
      <c r="S19" s="107">
        <v>0.53</v>
      </c>
      <c r="T19" s="107">
        <v>0.53</v>
      </c>
      <c r="U19" s="107">
        <v>0.53</v>
      </c>
      <c r="V19" s="107">
        <v>0.53</v>
      </c>
    </row>
    <row r="20" spans="1:22" s="2" customFormat="1" ht="12.75">
      <c r="A20" s="31"/>
      <c r="B20" s="26" t="s">
        <v>77</v>
      </c>
      <c r="C20" s="145"/>
      <c r="D20" s="80">
        <f>+D17*D19</f>
        <v>111.65</v>
      </c>
      <c r="E20" s="80">
        <f>+E23-E15</f>
        <v>111.63999999999999</v>
      </c>
      <c r="F20" s="80">
        <f>+F23-F15</f>
        <v>109.32</v>
      </c>
      <c r="G20" s="205">
        <f aca="true" t="shared" si="7" ref="G20:R20">+G17*G19</f>
        <v>95.7565</v>
      </c>
      <c r="H20" s="80">
        <f t="shared" si="7"/>
        <v>90.703368</v>
      </c>
      <c r="I20" s="80">
        <f t="shared" si="7"/>
        <v>86.71241980799998</v>
      </c>
      <c r="J20" s="80">
        <f t="shared" si="7"/>
        <v>82.12950784259199</v>
      </c>
      <c r="K20" s="80">
        <f t="shared" si="7"/>
        <v>77.7820168853916</v>
      </c>
      <c r="L20" s="80">
        <f t="shared" si="7"/>
        <v>74.35960814243437</v>
      </c>
      <c r="M20" s="80">
        <f t="shared" si="7"/>
        <v>71.08778538416725</v>
      </c>
      <c r="N20" s="80">
        <f t="shared" si="7"/>
        <v>67.95992282726388</v>
      </c>
      <c r="O20" s="80">
        <f t="shared" si="7"/>
        <v>64.96968622286427</v>
      </c>
      <c r="P20" s="80">
        <f t="shared" si="7"/>
        <v>62.11102002905824</v>
      </c>
      <c r="Q20" s="80">
        <f t="shared" si="7"/>
        <v>248.44408011623295</v>
      </c>
      <c r="R20" s="80">
        <f t="shared" si="7"/>
        <v>211.17746809879802</v>
      </c>
      <c r="S20" s="80">
        <f>+S17*S19</f>
        <v>190.0597212889182</v>
      </c>
      <c r="T20" s="80">
        <f>+T17*T19</f>
        <v>180.5567352244723</v>
      </c>
      <c r="U20" s="80">
        <f>+U17*U19</f>
        <v>180.5567352244723</v>
      </c>
      <c r="V20" s="80">
        <f>+V17*V19</f>
        <v>180.5567352244723</v>
      </c>
    </row>
    <row r="21" spans="1:22" s="2" customFormat="1" ht="12.75">
      <c r="A21" s="31"/>
      <c r="B21" s="73"/>
      <c r="C21" s="145"/>
      <c r="D21" s="38"/>
      <c r="E21" s="38"/>
      <c r="F21" s="38"/>
      <c r="G21" s="20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22" s="2" customFormat="1" ht="12.75">
      <c r="A22" s="31"/>
      <c r="B22" s="73" t="s">
        <v>80</v>
      </c>
      <c r="C22" s="145"/>
      <c r="D22" s="157">
        <f>+D12+D17</f>
        <v>313.3</v>
      </c>
      <c r="E22" s="157">
        <v>289.1</v>
      </c>
      <c r="F22" s="157">
        <v>286.5</v>
      </c>
      <c r="G22" s="202">
        <v>267.7</v>
      </c>
      <c r="H22" s="12">
        <f aca="true" t="shared" si="8" ref="H22:R22">+H12+H17</f>
        <v>262.03919999999994</v>
      </c>
      <c r="I22" s="12">
        <f t="shared" si="8"/>
        <v>256.76513019999993</v>
      </c>
      <c r="J22" s="12">
        <f t="shared" si="8"/>
        <v>251.86387170869995</v>
      </c>
      <c r="K22" s="12">
        <f t="shared" si="8"/>
        <v>247.32218775386087</v>
      </c>
      <c r="L22" s="12">
        <f t="shared" si="8"/>
        <v>243.12749523704247</v>
      </c>
      <c r="M22" s="12">
        <f t="shared" si="8"/>
        <v>239.26783757521198</v>
      </c>
      <c r="N22" s="12">
        <f t="shared" si="8"/>
        <v>235.73185877339552</v>
      </c>
      <c r="O22" s="12">
        <f t="shared" si="8"/>
        <v>232.5087786750176</v>
      </c>
      <c r="P22" s="12">
        <f t="shared" si="8"/>
        <v>229.58836933894042</v>
      </c>
      <c r="Q22" s="12">
        <f t="shared" si="8"/>
        <v>918.3534773557617</v>
      </c>
      <c r="R22" s="12">
        <f t="shared" si="8"/>
        <v>915.4777743650318</v>
      </c>
      <c r="S22" s="12">
        <f>+S12+S17</f>
        <v>953.1874272656364</v>
      </c>
      <c r="T22" s="12">
        <f>+T12+T17</f>
        <v>1024.444891812494</v>
      </c>
      <c r="U22" s="12">
        <f>+U12+U17</f>
        <v>1127.010662784989</v>
      </c>
      <c r="V22" s="12">
        <f>+V12+V17</f>
        <v>1244.9612994033582</v>
      </c>
    </row>
    <row r="23" spans="1:22" s="26" customFormat="1" ht="13.5" thickBot="1">
      <c r="A23" s="32" t="s">
        <v>15</v>
      </c>
      <c r="B23" s="32" t="s">
        <v>112</v>
      </c>
      <c r="C23" s="148"/>
      <c r="D23" s="81">
        <f>+D15+D20</f>
        <v>147.11</v>
      </c>
      <c r="E23" s="81">
        <v>146</v>
      </c>
      <c r="F23" s="81">
        <v>145.2</v>
      </c>
      <c r="G23" s="208">
        <v>137.8</v>
      </c>
      <c r="H23" s="81">
        <f aca="true" t="shared" si="9" ref="H23:R23">+H15+H20</f>
        <v>128.331368</v>
      </c>
      <c r="I23" s="81">
        <f t="shared" si="9"/>
        <v>125.18704980799998</v>
      </c>
      <c r="J23" s="81">
        <f t="shared" si="9"/>
        <v>121.46981701759199</v>
      </c>
      <c r="K23" s="81">
        <f t="shared" si="9"/>
        <v>118.0074830168291</v>
      </c>
      <c r="L23" s="81">
        <f t="shared" si="9"/>
        <v>115.49014726182921</v>
      </c>
      <c r="M23" s="81">
        <f t="shared" si="9"/>
        <v>113.14376163374847</v>
      </c>
      <c r="N23" s="81">
        <f t="shared" si="9"/>
        <v>110.96215854246068</v>
      </c>
      <c r="O23" s="81">
        <f t="shared" si="9"/>
        <v>108.939472241653</v>
      </c>
      <c r="P23" s="81">
        <f t="shared" si="9"/>
        <v>107.0701262332697</v>
      </c>
      <c r="Q23" s="81">
        <f t="shared" si="9"/>
        <v>428.2805049330788</v>
      </c>
      <c r="R23" s="81">
        <f t="shared" si="9"/>
        <v>417.98935663817076</v>
      </c>
      <c r="S23" s="81">
        <f>+S15+S20</f>
        <v>427.89339310919684</v>
      </c>
      <c r="T23" s="81">
        <f>+T15+T20</f>
        <v>454.06545781779266</v>
      </c>
      <c r="U23" s="81">
        <f>+U15+U20</f>
        <v>495.0917662067907</v>
      </c>
      <c r="V23" s="81">
        <f>+V15+V20</f>
        <v>542.2720208541384</v>
      </c>
    </row>
    <row r="24" spans="1:22" s="26" customFormat="1" ht="13.5" thickTop="1">
      <c r="A24" s="32"/>
      <c r="B24" s="26" t="s">
        <v>81</v>
      </c>
      <c r="C24" s="148" t="s">
        <v>125</v>
      </c>
      <c r="D24" s="83">
        <f>+D23/D22</f>
        <v>0.4695499521225663</v>
      </c>
      <c r="E24" s="241">
        <f>+E23/E22</f>
        <v>0.5050155655482531</v>
      </c>
      <c r="F24" s="241">
        <f>+F23/F22</f>
        <v>0.506806282722513</v>
      </c>
      <c r="G24" s="242">
        <f aca="true" t="shared" si="10" ref="G24:R24">+G23/G22</f>
        <v>0.5147553231228988</v>
      </c>
      <c r="H24" s="241">
        <f t="shared" si="10"/>
        <v>0.4897411074373606</v>
      </c>
      <c r="I24" s="240">
        <f t="shared" si="10"/>
        <v>0.4875547147328341</v>
      </c>
      <c r="J24" s="240">
        <f t="shared" si="10"/>
        <v>0.4822836089730298</v>
      </c>
      <c r="K24" s="240">
        <f t="shared" si="10"/>
        <v>0.4771407049587969</v>
      </c>
      <c r="L24" s="240">
        <f t="shared" si="10"/>
        <v>0.47501886674409066</v>
      </c>
      <c r="M24" s="251">
        <f t="shared" si="10"/>
        <v>0.47287492870069764</v>
      </c>
      <c r="N24" s="251">
        <f t="shared" si="10"/>
        <v>0.4707134585873964</v>
      </c>
      <c r="O24" s="251">
        <f t="shared" si="10"/>
        <v>0.4685391788751339</v>
      </c>
      <c r="P24" s="251">
        <f t="shared" si="10"/>
        <v>0.4663569262744425</v>
      </c>
      <c r="Q24" s="276">
        <f t="shared" si="10"/>
        <v>0.4663569262744425</v>
      </c>
      <c r="R24" s="241">
        <f t="shared" si="10"/>
        <v>0.45658056191269625</v>
      </c>
      <c r="S24" s="276">
        <f>+S23/S22</f>
        <v>0.44890792814659164</v>
      </c>
      <c r="T24" s="241">
        <f>+T23/T22</f>
        <v>0.44323073056125023</v>
      </c>
      <c r="U24" s="276">
        <f>+U23/U22</f>
        <v>0.4392964348565744</v>
      </c>
      <c r="V24" s="241">
        <f>+V23/V22</f>
        <v>0.435573395826858</v>
      </c>
    </row>
    <row r="25" spans="1:7" s="2" customFormat="1" ht="12.75">
      <c r="A25" s="31"/>
      <c r="B25" s="103"/>
      <c r="C25" s="145"/>
      <c r="D25" s="149"/>
      <c r="E25" s="149"/>
      <c r="F25" s="149"/>
      <c r="G25" s="201"/>
    </row>
    <row r="26" spans="1:22" s="26" customFormat="1" ht="12.75">
      <c r="A26" s="32"/>
      <c r="B26" s="25"/>
      <c r="C26" s="148"/>
      <c r="D26" s="38"/>
      <c r="E26" s="38"/>
      <c r="F26" s="38"/>
      <c r="G26" s="20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2" customFormat="1" ht="12.75">
      <c r="A27" s="31"/>
      <c r="B27" s="53" t="s">
        <v>47</v>
      </c>
      <c r="C27" s="149"/>
      <c r="D27" s="157"/>
      <c r="E27" s="157"/>
      <c r="F27" s="157"/>
      <c r="G27" s="20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2" customFormat="1" ht="12.75">
      <c r="A28" s="31"/>
      <c r="B28" s="25" t="s">
        <v>17</v>
      </c>
      <c r="C28" s="149"/>
      <c r="D28" s="157"/>
      <c r="E28" s="157"/>
      <c r="F28" s="157"/>
      <c r="G28" s="20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" customFormat="1" ht="12.75">
      <c r="A29" s="31"/>
      <c r="B29" s="1" t="s">
        <v>89</v>
      </c>
      <c r="C29" s="149"/>
      <c r="D29" s="157">
        <v>3.325</v>
      </c>
      <c r="E29" s="157">
        <v>2.07</v>
      </c>
      <c r="F29" s="157">
        <v>1.7825</v>
      </c>
      <c r="G29" s="202">
        <v>1.495</v>
      </c>
      <c r="H29" s="12">
        <v>1.2075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s="2" customFormat="1" ht="12.75">
      <c r="A30" s="31"/>
      <c r="B30" s="1" t="s">
        <v>90</v>
      </c>
      <c r="C30" s="149"/>
      <c r="D30" s="157"/>
      <c r="E30" s="157">
        <v>2.629</v>
      </c>
      <c r="F30" s="157">
        <v>2.629</v>
      </c>
      <c r="G30" s="202">
        <v>2.629</v>
      </c>
      <c r="H30" s="12">
        <v>2.629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s="2" customFormat="1" ht="12.75">
      <c r="A31" s="31"/>
      <c r="B31" s="1" t="s">
        <v>25</v>
      </c>
      <c r="C31" s="187"/>
      <c r="D31" s="157">
        <v>0</v>
      </c>
      <c r="E31" s="157">
        <v>0</v>
      </c>
      <c r="F31" s="157"/>
      <c r="G31" s="20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s="2" customFormat="1" ht="12.75">
      <c r="A32" s="31"/>
      <c r="B32" s="1" t="s">
        <v>34</v>
      </c>
      <c r="C32" s="149"/>
      <c r="D32" s="157">
        <v>2.875</v>
      </c>
      <c r="E32" s="157">
        <v>2.875</v>
      </c>
      <c r="F32" s="157">
        <v>2.875</v>
      </c>
      <c r="G32" s="202">
        <v>2.875</v>
      </c>
      <c r="H32" s="12">
        <v>2.875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" customFormat="1" ht="12.75">
      <c r="A33" s="31"/>
      <c r="B33" s="1" t="s">
        <v>14</v>
      </c>
      <c r="C33" s="149"/>
      <c r="D33" s="157"/>
      <c r="E33" s="157"/>
      <c r="F33" s="157"/>
      <c r="G33" s="20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s="2" customFormat="1" ht="12.75">
      <c r="A34" s="31"/>
      <c r="B34" s="7" t="s">
        <v>27</v>
      </c>
      <c r="C34" s="149"/>
      <c r="D34" s="157">
        <v>2.1125</v>
      </c>
      <c r="E34" s="157">
        <v>2.1125</v>
      </c>
      <c r="F34" s="157">
        <v>2.1125</v>
      </c>
      <c r="G34" s="202">
        <v>2.1125</v>
      </c>
      <c r="H34" s="12">
        <v>2.1125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2" customFormat="1" ht="12.75">
      <c r="A35" s="31"/>
      <c r="B35" s="1" t="s">
        <v>26</v>
      </c>
      <c r="C35" s="149"/>
      <c r="D35" s="157">
        <v>2.140625</v>
      </c>
      <c r="E35" s="157">
        <v>2.140625</v>
      </c>
      <c r="F35" s="157">
        <v>2.140625</v>
      </c>
      <c r="G35" s="202">
        <v>2.140625</v>
      </c>
      <c r="H35" s="12">
        <v>2.140625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2" customFormat="1" ht="12.75">
      <c r="A36" s="31"/>
      <c r="B36" s="1" t="s">
        <v>28</v>
      </c>
      <c r="C36" s="149"/>
      <c r="D36" s="157">
        <v>3.640125</v>
      </c>
      <c r="E36" s="157">
        <v>3.640125</v>
      </c>
      <c r="F36" s="157">
        <v>3.640125</v>
      </c>
      <c r="G36" s="202">
        <v>3.640125</v>
      </c>
      <c r="H36" s="12">
        <v>3.640125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2" customFormat="1" ht="12.75">
      <c r="A37" s="31"/>
      <c r="B37" s="1" t="s">
        <v>29</v>
      </c>
      <c r="C37" s="149"/>
      <c r="D37" s="157">
        <v>2.5185</v>
      </c>
      <c r="E37" s="157">
        <v>2.5185</v>
      </c>
      <c r="F37" s="157">
        <v>2.5185</v>
      </c>
      <c r="G37" s="202">
        <v>2.5185</v>
      </c>
      <c r="H37" s="12">
        <v>2.5185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2" customFormat="1" ht="12.75">
      <c r="A38" s="31"/>
      <c r="B38" s="1" t="s">
        <v>30</v>
      </c>
      <c r="C38" s="149"/>
      <c r="D38" s="157">
        <v>4.2</v>
      </c>
      <c r="E38" s="157">
        <v>4.2</v>
      </c>
      <c r="F38" s="157">
        <v>4.2</v>
      </c>
      <c r="G38" s="202">
        <v>4.2</v>
      </c>
      <c r="H38" s="12">
        <v>4.2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2" customFormat="1" ht="12.75">
      <c r="A39" s="31"/>
      <c r="B39" s="1" t="s">
        <v>31</v>
      </c>
      <c r="C39" s="149"/>
      <c r="D39" s="157">
        <v>1.769625</v>
      </c>
      <c r="E39" s="157">
        <v>1.769625</v>
      </c>
      <c r="F39" s="157">
        <v>1.769625</v>
      </c>
      <c r="G39" s="202">
        <v>1.769625</v>
      </c>
      <c r="H39" s="12">
        <v>1.769625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2" customFormat="1" ht="12.75">
      <c r="A40" s="31"/>
      <c r="B40" s="1" t="s">
        <v>32</v>
      </c>
      <c r="C40" s="149"/>
      <c r="D40" s="157">
        <v>5.8125</v>
      </c>
      <c r="E40" s="157">
        <v>5.8125</v>
      </c>
      <c r="F40" s="157">
        <v>5.8125</v>
      </c>
      <c r="G40" s="202">
        <v>5.8125</v>
      </c>
      <c r="H40" s="12">
        <v>5.8125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2" customFormat="1" ht="12.75">
      <c r="A41" s="31"/>
      <c r="B41" s="1" t="s">
        <v>33</v>
      </c>
      <c r="C41" s="149"/>
      <c r="D41" s="157">
        <v>0.265625</v>
      </c>
      <c r="E41" s="157">
        <v>0.265625</v>
      </c>
      <c r="F41" s="157">
        <v>0.265625</v>
      </c>
      <c r="G41" s="202">
        <v>0.265625</v>
      </c>
      <c r="H41" s="12">
        <v>0.265625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2" customFormat="1" ht="12.75">
      <c r="A42" s="31"/>
      <c r="B42" s="19" t="s">
        <v>101</v>
      </c>
      <c r="C42" s="149"/>
      <c r="D42" s="157">
        <f>35.6-28.7</f>
        <v>6.900000000000002</v>
      </c>
      <c r="E42" s="157">
        <f>32.9-30</f>
        <v>2.8999999999999986</v>
      </c>
      <c r="F42" s="157">
        <v>-2.7</v>
      </c>
      <c r="G42" s="202">
        <v>5.47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2" customFormat="1" ht="12.75">
      <c r="A43" s="31"/>
      <c r="B43" s="19"/>
      <c r="C43" s="149"/>
      <c r="D43" s="157"/>
      <c r="E43" s="157"/>
      <c r="F43" s="157"/>
      <c r="G43" s="20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2" customFormat="1" ht="12.75">
      <c r="A44" s="31"/>
      <c r="B44" s="19" t="s">
        <v>134</v>
      </c>
      <c r="C44" s="149"/>
      <c r="D44" s="157"/>
      <c r="E44" s="157"/>
      <c r="F44" s="157"/>
      <c r="G44" s="202"/>
      <c r="H44" s="12"/>
      <c r="I44" s="12">
        <f>(+H94-107.5)*(0.0925/4)</f>
        <v>18.4930625</v>
      </c>
      <c r="J44" s="12">
        <f aca="true" t="shared" si="11" ref="J44:P44">(+I94-107.5)*(0.0925/4)</f>
        <v>18.4930625</v>
      </c>
      <c r="K44" s="12">
        <f t="shared" si="11"/>
        <v>17.3368125</v>
      </c>
      <c r="L44" s="12">
        <f t="shared" si="11"/>
        <v>17.3368125</v>
      </c>
      <c r="M44" s="12">
        <f t="shared" si="11"/>
        <v>15.36747434705926</v>
      </c>
      <c r="N44" s="12">
        <f t="shared" si="11"/>
        <v>15.36747434705926</v>
      </c>
      <c r="O44" s="12">
        <f t="shared" si="11"/>
        <v>13.757460589655269</v>
      </c>
      <c r="P44" s="12">
        <f t="shared" si="11"/>
        <v>13.757460589655269</v>
      </c>
      <c r="Q44" s="12">
        <f>(+P94-107.5)*(0.0925)</f>
        <v>48.045396584207765</v>
      </c>
      <c r="R44" s="12">
        <f>(+Q94-107.5)*(0.0925)</f>
        <v>34.731485525973206</v>
      </c>
      <c r="S44" s="12">
        <f>(+R94-107.5)*(0.0925)</f>
        <v>21.755924884270275</v>
      </c>
      <c r="T44" s="12">
        <f>(+S94-107.5)*(0.0925)</f>
        <v>8.570660075861573</v>
      </c>
      <c r="U44" s="12"/>
      <c r="V44" s="12"/>
    </row>
    <row r="45" spans="1:22" s="2" customFormat="1" ht="12.75">
      <c r="A45" s="31"/>
      <c r="B45" s="19" t="s">
        <v>135</v>
      </c>
      <c r="C45" s="149"/>
      <c r="D45" s="157"/>
      <c r="E45" s="157"/>
      <c r="F45" s="157"/>
      <c r="G45" s="202"/>
      <c r="H45" s="12"/>
      <c r="I45" s="12">
        <f>107.5*0.08/4</f>
        <v>2.15</v>
      </c>
      <c r="J45" s="12">
        <f aca="true" t="shared" si="12" ref="J45:P45">107.5*0.08/4</f>
        <v>2.15</v>
      </c>
      <c r="K45" s="12">
        <f t="shared" si="12"/>
        <v>2.15</v>
      </c>
      <c r="L45" s="12">
        <f t="shared" si="12"/>
        <v>2.15</v>
      </c>
      <c r="M45" s="12">
        <f t="shared" si="12"/>
        <v>2.15</v>
      </c>
      <c r="N45" s="12">
        <f t="shared" si="12"/>
        <v>2.15</v>
      </c>
      <c r="O45" s="12">
        <f t="shared" si="12"/>
        <v>2.15</v>
      </c>
      <c r="P45" s="12">
        <f t="shared" si="12"/>
        <v>2.15</v>
      </c>
      <c r="Q45" s="12">
        <f aca="true" t="shared" si="13" ref="Q45:V45">107.5*0.08</f>
        <v>8.6</v>
      </c>
      <c r="R45" s="12">
        <f t="shared" si="13"/>
        <v>8.6</v>
      </c>
      <c r="S45" s="12">
        <f t="shared" si="13"/>
        <v>8.6</v>
      </c>
      <c r="T45" s="12">
        <f t="shared" si="13"/>
        <v>8.6</v>
      </c>
      <c r="U45" s="12">
        <f t="shared" si="13"/>
        <v>8.6</v>
      </c>
      <c r="V45" s="12">
        <f t="shared" si="13"/>
        <v>8.6</v>
      </c>
    </row>
    <row r="46" spans="1:22" s="2" customFormat="1" ht="12.75">
      <c r="A46" s="31"/>
      <c r="B46" s="19"/>
      <c r="C46" s="149"/>
      <c r="D46" s="157"/>
      <c r="E46" s="157"/>
      <c r="F46" s="157"/>
      <c r="G46" s="20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2" customFormat="1" ht="12.75">
      <c r="A47" s="31" t="s">
        <v>119</v>
      </c>
      <c r="B47" s="19" t="s">
        <v>115</v>
      </c>
      <c r="C47" s="149"/>
      <c r="D47" s="157"/>
      <c r="E47" s="157">
        <v>1.9</v>
      </c>
      <c r="F47" s="157">
        <f>7.4-E47</f>
        <v>5.5</v>
      </c>
      <c r="G47" s="20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" customFormat="1" ht="12.75">
      <c r="A48" s="31"/>
      <c r="B48" s="25"/>
      <c r="C48" s="149"/>
      <c r="D48" s="157"/>
      <c r="E48" s="157"/>
      <c r="F48" s="157"/>
      <c r="G48" s="20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2" customFormat="1" ht="12.75">
      <c r="A49" s="31"/>
      <c r="B49" s="25" t="s">
        <v>117</v>
      </c>
      <c r="C49" s="149"/>
      <c r="D49" s="157">
        <v>27.3</v>
      </c>
      <c r="E49" s="192">
        <v>29.8</v>
      </c>
      <c r="F49" s="157">
        <v>31.7</v>
      </c>
      <c r="G49" s="202">
        <v>5.6</v>
      </c>
      <c r="H49" s="12">
        <v>31.7</v>
      </c>
      <c r="I49" s="12">
        <v>35</v>
      </c>
      <c r="J49" s="12">
        <f aca="true" t="shared" si="14" ref="J49:P49">+I49</f>
        <v>35</v>
      </c>
      <c r="K49" s="12">
        <f t="shared" si="14"/>
        <v>35</v>
      </c>
      <c r="L49" s="12">
        <f t="shared" si="14"/>
        <v>35</v>
      </c>
      <c r="M49" s="12">
        <f t="shared" si="14"/>
        <v>35</v>
      </c>
      <c r="N49" s="12">
        <f t="shared" si="14"/>
        <v>35</v>
      </c>
      <c r="O49" s="12">
        <f t="shared" si="14"/>
        <v>35</v>
      </c>
      <c r="P49" s="12">
        <f t="shared" si="14"/>
        <v>35</v>
      </c>
      <c r="Q49" s="12">
        <f>+P49*4</f>
        <v>140</v>
      </c>
      <c r="R49" s="12">
        <f>+Q49</f>
        <v>140</v>
      </c>
      <c r="S49" s="12">
        <f>+R49</f>
        <v>140</v>
      </c>
      <c r="T49" s="12">
        <f>+S49</f>
        <v>140</v>
      </c>
      <c r="U49" s="12">
        <f>+T49</f>
        <v>140</v>
      </c>
      <c r="V49" s="12">
        <f>+U49</f>
        <v>140</v>
      </c>
    </row>
    <row r="50" spans="1:22" s="2" customFormat="1" ht="12.75">
      <c r="A50" s="31"/>
      <c r="C50" s="149"/>
      <c r="D50" s="157"/>
      <c r="E50" s="157"/>
      <c r="F50" s="157"/>
      <c r="G50" s="20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2" customFormat="1" ht="12.75">
      <c r="A51" s="31"/>
      <c r="B51" s="25" t="s">
        <v>71</v>
      </c>
      <c r="C51" s="149"/>
      <c r="D51" s="157">
        <v>14.7</v>
      </c>
      <c r="E51" s="157">
        <v>8.2</v>
      </c>
      <c r="F51" s="157">
        <f>16.9-E51</f>
        <v>8.7</v>
      </c>
      <c r="G51" s="202">
        <f>-SUM(E51:F51)+24.8</f>
        <v>7.900000000000002</v>
      </c>
      <c r="H51" s="12">
        <f aca="true" t="shared" si="15" ref="H51:P51">+G51</f>
        <v>7.900000000000002</v>
      </c>
      <c r="I51" s="12">
        <f t="shared" si="15"/>
        <v>7.900000000000002</v>
      </c>
      <c r="J51" s="12">
        <f t="shared" si="15"/>
        <v>7.900000000000002</v>
      </c>
      <c r="K51" s="12">
        <f t="shared" si="15"/>
        <v>7.900000000000002</v>
      </c>
      <c r="L51" s="12">
        <f t="shared" si="15"/>
        <v>7.900000000000002</v>
      </c>
      <c r="M51" s="12">
        <f t="shared" si="15"/>
        <v>7.900000000000002</v>
      </c>
      <c r="N51" s="12">
        <f t="shared" si="15"/>
        <v>7.900000000000002</v>
      </c>
      <c r="O51" s="12">
        <f t="shared" si="15"/>
        <v>7.900000000000002</v>
      </c>
      <c r="P51" s="12">
        <f t="shared" si="15"/>
        <v>7.900000000000002</v>
      </c>
      <c r="Q51" s="12">
        <f>+P51*4</f>
        <v>31.60000000000001</v>
      </c>
      <c r="R51" s="12">
        <f>+Q51</f>
        <v>31.60000000000001</v>
      </c>
      <c r="S51" s="12">
        <f>+R51</f>
        <v>31.60000000000001</v>
      </c>
      <c r="T51" s="12">
        <f>+S51</f>
        <v>31.60000000000001</v>
      </c>
      <c r="U51" s="12">
        <f>+T51</f>
        <v>31.60000000000001</v>
      </c>
      <c r="V51" s="12">
        <f>+U51</f>
        <v>31.60000000000001</v>
      </c>
    </row>
    <row r="52" spans="1:22" s="2" customFormat="1" ht="12.75">
      <c r="A52" s="31" t="s">
        <v>119</v>
      </c>
      <c r="B52" s="25" t="s">
        <v>116</v>
      </c>
      <c r="C52" s="149"/>
      <c r="D52" s="157">
        <v>0</v>
      </c>
      <c r="E52" s="157">
        <v>13.036</v>
      </c>
      <c r="F52" s="157">
        <v>0</v>
      </c>
      <c r="G52" s="202">
        <v>3.6</v>
      </c>
      <c r="H52" s="12">
        <v>0</v>
      </c>
      <c r="I52" s="27">
        <v>13</v>
      </c>
      <c r="J52" s="12">
        <v>0</v>
      </c>
      <c r="K52" s="12">
        <v>0</v>
      </c>
      <c r="L52" s="12">
        <v>0</v>
      </c>
      <c r="M52" s="27">
        <v>13</v>
      </c>
      <c r="N52" s="12">
        <v>0</v>
      </c>
      <c r="O52" s="12">
        <v>0</v>
      </c>
      <c r="P52" s="12">
        <v>0</v>
      </c>
      <c r="Q52" s="27">
        <v>13</v>
      </c>
      <c r="R52" s="27">
        <v>13</v>
      </c>
      <c r="S52" s="12">
        <v>0</v>
      </c>
      <c r="T52" s="12">
        <v>0</v>
      </c>
      <c r="U52" s="12">
        <v>0</v>
      </c>
      <c r="V52" s="12">
        <v>0</v>
      </c>
    </row>
    <row r="53" spans="1:22" s="2" customFormat="1" ht="12.75">
      <c r="A53" s="31" t="s">
        <v>119</v>
      </c>
      <c r="B53" s="25" t="s">
        <v>118</v>
      </c>
      <c r="C53" s="149"/>
      <c r="D53" s="157"/>
      <c r="E53" s="157">
        <f>42.736+(315.3-310.1)</f>
        <v>47.935999999999986</v>
      </c>
      <c r="F53" s="157">
        <f>30.4-E53-0.7</f>
        <v>-18.235999999999986</v>
      </c>
      <c r="G53" s="202">
        <f>-SUM(E53:F53)+43.577</f>
        <v>13.876999999999999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2" customFormat="1" ht="12.75">
      <c r="A54" s="31"/>
      <c r="B54" s="25"/>
      <c r="C54" s="149"/>
      <c r="D54" s="157"/>
      <c r="E54" s="157"/>
      <c r="F54" s="157"/>
      <c r="G54" s="20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2" customFormat="1" ht="12.75">
      <c r="A55" s="31"/>
      <c r="B55" s="25" t="s">
        <v>132</v>
      </c>
      <c r="C55" s="149"/>
      <c r="D55" s="157"/>
      <c r="E55" s="157"/>
      <c r="F55" s="157"/>
      <c r="G55" s="202">
        <v>26.8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2" customFormat="1" ht="12.75">
      <c r="A56" s="31"/>
      <c r="B56" s="25" t="s">
        <v>131</v>
      </c>
      <c r="C56" s="149"/>
      <c r="D56" s="157"/>
      <c r="E56" s="157"/>
      <c r="F56" s="157"/>
      <c r="G56" s="202">
        <v>16.305</v>
      </c>
      <c r="H56" s="12">
        <f>50-G56</f>
        <v>33.695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2" customFormat="1" ht="12.75">
      <c r="A57" s="31"/>
      <c r="B57" s="25" t="s">
        <v>102</v>
      </c>
      <c r="C57" s="149"/>
      <c r="D57" s="157">
        <v>2.9</v>
      </c>
      <c r="E57" s="157">
        <v>0</v>
      </c>
      <c r="F57" s="157"/>
      <c r="G57" s="20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2" customFormat="1" ht="12.75">
      <c r="A58" s="31"/>
      <c r="B58" s="2" t="s">
        <v>103</v>
      </c>
      <c r="C58" s="149"/>
      <c r="D58" s="157">
        <v>0.5</v>
      </c>
      <c r="E58" s="157"/>
      <c r="F58" s="157"/>
      <c r="G58" s="202">
        <v>-1.6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" customFormat="1" ht="12.75">
      <c r="A59" s="31"/>
      <c r="B59" s="25" t="s">
        <v>19</v>
      </c>
      <c r="C59" s="150" t="s">
        <v>107</v>
      </c>
      <c r="D59" s="157">
        <v>10</v>
      </c>
      <c r="E59" s="157">
        <v>0</v>
      </c>
      <c r="F59" s="157">
        <v>0</v>
      </c>
      <c r="G59" s="202">
        <f aca="true" t="shared" si="16" ref="G59:P59">+F59</f>
        <v>0</v>
      </c>
      <c r="H59" s="12">
        <f t="shared" si="16"/>
        <v>0</v>
      </c>
      <c r="I59" s="12">
        <f t="shared" si="16"/>
        <v>0</v>
      </c>
      <c r="J59" s="12">
        <f t="shared" si="16"/>
        <v>0</v>
      </c>
      <c r="K59" s="12">
        <f t="shared" si="16"/>
        <v>0</v>
      </c>
      <c r="L59" s="12">
        <f t="shared" si="16"/>
        <v>0</v>
      </c>
      <c r="M59" s="12">
        <f t="shared" si="16"/>
        <v>0</v>
      </c>
      <c r="N59" s="12">
        <f t="shared" si="16"/>
        <v>0</v>
      </c>
      <c r="O59" s="12">
        <f t="shared" si="16"/>
        <v>0</v>
      </c>
      <c r="P59" s="12">
        <f t="shared" si="16"/>
        <v>0</v>
      </c>
      <c r="Q59" s="12">
        <f>+P59*4</f>
        <v>0</v>
      </c>
      <c r="R59" s="12">
        <f>+Q59</f>
        <v>0</v>
      </c>
      <c r="S59" s="12">
        <f>+R59</f>
        <v>0</v>
      </c>
      <c r="T59" s="12">
        <f>+S59</f>
        <v>0</v>
      </c>
      <c r="U59" s="12">
        <f>+T59</f>
        <v>0</v>
      </c>
      <c r="V59" s="12">
        <f>+U59</f>
        <v>0</v>
      </c>
    </row>
    <row r="60" spans="1:22" s="2" customFormat="1" ht="12.75">
      <c r="A60" s="31"/>
      <c r="C60" s="150"/>
      <c r="D60" s="13"/>
      <c r="E60" s="13"/>
      <c r="F60" s="13"/>
      <c r="G60" s="210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26" customFormat="1" ht="12.75">
      <c r="A61" s="32" t="s">
        <v>40</v>
      </c>
      <c r="B61" s="25" t="s">
        <v>21</v>
      </c>
      <c r="C61" s="151"/>
      <c r="D61" s="38">
        <f>SUM(D28:D60)</f>
        <v>90.9595</v>
      </c>
      <c r="E61" s="38">
        <f>SUM(E28:E60)</f>
        <v>133.8055</v>
      </c>
      <c r="F61" s="38">
        <f aca="true" t="shared" si="17" ref="F61:R61">SUM(F28:F60)</f>
        <v>54.71000000000002</v>
      </c>
      <c r="G61" s="207">
        <f t="shared" si="17"/>
        <v>107.41050000000001</v>
      </c>
      <c r="H61" s="27">
        <f t="shared" si="17"/>
        <v>102.46600000000001</v>
      </c>
      <c r="I61" s="27">
        <f t="shared" si="17"/>
        <v>76.5430625</v>
      </c>
      <c r="J61" s="27">
        <f t="shared" si="17"/>
        <v>63.543062500000005</v>
      </c>
      <c r="K61" s="27">
        <f t="shared" si="17"/>
        <v>62.386812500000005</v>
      </c>
      <c r="L61" s="27">
        <f t="shared" si="17"/>
        <v>62.386812500000005</v>
      </c>
      <c r="M61" s="27">
        <f t="shared" si="17"/>
        <v>73.41747434705927</v>
      </c>
      <c r="N61" s="27">
        <f t="shared" si="17"/>
        <v>60.41747434705927</v>
      </c>
      <c r="O61" s="27">
        <f t="shared" si="17"/>
        <v>58.80746058965528</v>
      </c>
      <c r="P61" s="27">
        <f t="shared" si="17"/>
        <v>58.80746058965528</v>
      </c>
      <c r="Q61" s="27">
        <f t="shared" si="17"/>
        <v>241.24539658420775</v>
      </c>
      <c r="R61" s="27">
        <f t="shared" si="17"/>
        <v>227.93148552597324</v>
      </c>
      <c r="S61" s="27">
        <f>SUM(S28:S60)</f>
        <v>201.9559248842703</v>
      </c>
      <c r="T61" s="27">
        <f>SUM(T28:T60)</f>
        <v>188.7706600758616</v>
      </c>
      <c r="U61" s="27">
        <f>SUM(U28:U60)</f>
        <v>180.2</v>
      </c>
      <c r="V61" s="27">
        <f>SUM(V28:V60)</f>
        <v>180.2</v>
      </c>
    </row>
    <row r="62" spans="1:22" s="26" customFormat="1" ht="12.75">
      <c r="A62" s="32"/>
      <c r="B62" s="25"/>
      <c r="C62" s="151"/>
      <c r="D62" s="38"/>
      <c r="E62" s="38"/>
      <c r="F62" s="38"/>
      <c r="G62" s="20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s="26" customFormat="1" ht="12.75">
      <c r="A63" s="32"/>
      <c r="B63" s="3" t="s">
        <v>35</v>
      </c>
      <c r="C63" s="145"/>
      <c r="D63" s="157">
        <v>52</v>
      </c>
      <c r="E63" s="38"/>
      <c r="F63" s="38"/>
      <c r="G63" s="207"/>
      <c r="H63" s="27">
        <v>-275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s="2" customFormat="1" ht="12.75">
      <c r="A64" s="31"/>
      <c r="B64" s="3" t="s">
        <v>54</v>
      </c>
      <c r="C64" s="145"/>
      <c r="D64" s="157">
        <v>72</v>
      </c>
      <c r="E64" s="157"/>
      <c r="F64" s="13"/>
      <c r="G64" s="210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6" customFormat="1" ht="13.5" thickBot="1">
      <c r="A65" s="32" t="s">
        <v>41</v>
      </c>
      <c r="B65" s="25" t="s">
        <v>43</v>
      </c>
      <c r="C65" s="152" t="s">
        <v>44</v>
      </c>
      <c r="D65" s="33">
        <f>+D23-D61+D64+D63</f>
        <v>180.15050000000002</v>
      </c>
      <c r="E65" s="142">
        <f aca="true" t="shared" si="18" ref="E65:V65">+E23-E61</f>
        <v>12.194500000000005</v>
      </c>
      <c r="F65" s="142">
        <f t="shared" si="18"/>
        <v>90.48999999999997</v>
      </c>
      <c r="G65" s="243">
        <f t="shared" si="18"/>
        <v>30.389499999999998</v>
      </c>
      <c r="H65" s="142">
        <f>SUM(H61:H64)</f>
        <v>-172.534</v>
      </c>
      <c r="I65" s="246">
        <f t="shared" si="18"/>
        <v>48.64398730799998</v>
      </c>
      <c r="J65" s="246">
        <f t="shared" si="18"/>
        <v>57.92675451759199</v>
      </c>
      <c r="K65" s="246">
        <f t="shared" si="18"/>
        <v>55.620670516829094</v>
      </c>
      <c r="L65" s="246">
        <f t="shared" si="18"/>
        <v>53.1033347618292</v>
      </c>
      <c r="M65" s="252">
        <f t="shared" si="18"/>
        <v>39.7262872866892</v>
      </c>
      <c r="N65" s="252">
        <f t="shared" si="18"/>
        <v>50.544684195401416</v>
      </c>
      <c r="O65" s="252">
        <f t="shared" si="18"/>
        <v>50.132011651997715</v>
      </c>
      <c r="P65" s="252">
        <f t="shared" si="18"/>
        <v>48.262665643614426</v>
      </c>
      <c r="Q65" s="277">
        <f t="shared" si="18"/>
        <v>187.03510834887106</v>
      </c>
      <c r="R65" s="142">
        <f t="shared" si="18"/>
        <v>190.05787111219752</v>
      </c>
      <c r="S65" s="277">
        <f t="shared" si="18"/>
        <v>225.93746822492653</v>
      </c>
      <c r="T65" s="142">
        <f t="shared" si="18"/>
        <v>265.29479774193106</v>
      </c>
      <c r="U65" s="277">
        <f t="shared" si="18"/>
        <v>314.8917662067907</v>
      </c>
      <c r="V65" s="142">
        <f t="shared" si="18"/>
        <v>362.07202085413843</v>
      </c>
    </row>
    <row r="66" spans="1:22" s="26" customFormat="1" ht="13.5" thickTop="1">
      <c r="A66" s="32"/>
      <c r="B66" s="25"/>
      <c r="C66" s="152"/>
      <c r="D66" s="38"/>
      <c r="E66" s="38"/>
      <c r="F66" s="38"/>
      <c r="G66" s="20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26" customFormat="1" ht="12.75">
      <c r="A67" s="32"/>
      <c r="B67" s="25" t="s">
        <v>136</v>
      </c>
      <c r="C67" s="152"/>
      <c r="D67" s="38"/>
      <c r="E67" s="38"/>
      <c r="F67" s="38"/>
      <c r="G67" s="207"/>
      <c r="H67" s="38">
        <f>-974.2-25</f>
        <v>-999.2</v>
      </c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26" customFormat="1" ht="12.75">
      <c r="A68" s="32"/>
      <c r="B68" s="25"/>
      <c r="C68" s="152"/>
      <c r="D68" s="38"/>
      <c r="E68" s="38"/>
      <c r="F68" s="38"/>
      <c r="G68" s="207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26" customFormat="1" ht="12.75">
      <c r="A69" s="32"/>
      <c r="B69" s="25"/>
      <c r="C69" s="152"/>
      <c r="D69" s="38"/>
      <c r="E69" s="38"/>
      <c r="F69" s="38"/>
      <c r="G69" s="207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2" customFormat="1" ht="12.75">
      <c r="A70" s="31"/>
      <c r="B70" s="3"/>
      <c r="C70" s="145"/>
      <c r="D70" s="157"/>
      <c r="E70" s="157"/>
      <c r="F70" s="157"/>
      <c r="G70" s="20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2.75">
      <c r="B71" s="54" t="s">
        <v>22</v>
      </c>
      <c r="C71" s="4"/>
      <c r="D71" s="158"/>
      <c r="E71" s="193"/>
      <c r="F71" s="193"/>
      <c r="G71" s="21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2.75">
      <c r="A72" s="17" t="s">
        <v>42</v>
      </c>
      <c r="B72" s="1" t="s">
        <v>87</v>
      </c>
      <c r="C72" s="153">
        <v>250</v>
      </c>
      <c r="D72" s="158">
        <v>45</v>
      </c>
      <c r="E72" s="193">
        <v>25</v>
      </c>
      <c r="F72" s="193">
        <v>25</v>
      </c>
      <c r="G72" s="212">
        <v>25</v>
      </c>
      <c r="H72" s="14">
        <v>130</v>
      </c>
      <c r="I72" s="12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2.75">
      <c r="A73" s="17" t="s">
        <v>42</v>
      </c>
      <c r="B73" s="1" t="s">
        <v>88</v>
      </c>
      <c r="C73" s="153">
        <v>16</v>
      </c>
      <c r="D73" s="158">
        <v>16</v>
      </c>
      <c r="E73" s="194">
        <v>-239</v>
      </c>
      <c r="F73" s="193"/>
      <c r="G73" s="212"/>
      <c r="H73" s="14">
        <v>239</v>
      </c>
      <c r="I73" s="12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2.75">
      <c r="A74" s="17" t="s">
        <v>42</v>
      </c>
      <c r="B74" s="1" t="s">
        <v>25</v>
      </c>
      <c r="C74" s="153">
        <v>35</v>
      </c>
      <c r="D74" s="158">
        <v>35</v>
      </c>
      <c r="E74" s="193"/>
      <c r="F74" s="193"/>
      <c r="G74" s="21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2.75">
      <c r="A75" s="17"/>
      <c r="B75" s="1" t="s">
        <v>114</v>
      </c>
      <c r="C75" s="153"/>
      <c r="D75" s="158"/>
      <c r="E75" s="193">
        <v>0.3</v>
      </c>
      <c r="F75" s="193"/>
      <c r="G75" s="21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3.5" thickBot="1">
      <c r="A76" s="17" t="s">
        <v>42</v>
      </c>
      <c r="B76" s="249" t="s">
        <v>34</v>
      </c>
      <c r="C76" s="154"/>
      <c r="D76" s="158"/>
      <c r="E76" s="193"/>
      <c r="F76" s="193"/>
      <c r="G76" s="212"/>
      <c r="H76" s="14">
        <v>184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6.5" thickBot="1">
      <c r="A77" s="17"/>
      <c r="B77" s="260" t="s">
        <v>137</v>
      </c>
      <c r="C77" s="154"/>
      <c r="D77" s="158"/>
      <c r="E77" s="193"/>
      <c r="F77" s="193"/>
      <c r="G77" s="250"/>
      <c r="H77" s="261">
        <v>-107.5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267" customFormat="1" ht="16.5" thickBot="1">
      <c r="A78" s="228"/>
      <c r="B78" s="260" t="s">
        <v>138</v>
      </c>
      <c r="C78" s="262"/>
      <c r="D78" s="263"/>
      <c r="E78" s="264"/>
      <c r="F78" s="264"/>
      <c r="G78" s="265"/>
      <c r="H78" s="261">
        <v>-800</v>
      </c>
      <c r="I78" s="266"/>
      <c r="J78" s="266">
        <v>50</v>
      </c>
      <c r="K78" s="266"/>
      <c r="L78" s="266">
        <f>SUM(J65:K65)*0.75</f>
        <v>85.16056877581582</v>
      </c>
      <c r="M78" s="266"/>
      <c r="N78" s="266">
        <f>SUM(L65:M65)*0.75</f>
        <v>69.6222165363888</v>
      </c>
      <c r="O78" s="266"/>
      <c r="P78" s="266">
        <f>SUM(N65:O65)*0.75</f>
        <v>75.50752188554935</v>
      </c>
      <c r="Q78" s="266">
        <f>(SUM(O65:P65)+(+Q65*0.5))*0.75</f>
        <v>143.93417360253576</v>
      </c>
      <c r="R78" s="266">
        <f>SUM(Q65)*0.75</f>
        <v>140.2763312616533</v>
      </c>
      <c r="S78" s="266">
        <f>SUM(R65)*0.75</f>
        <v>142.54340333414814</v>
      </c>
      <c r="T78" s="266">
        <v>93.5</v>
      </c>
      <c r="U78" s="266">
        <v>0</v>
      </c>
      <c r="V78" s="266">
        <v>0</v>
      </c>
    </row>
    <row r="79" spans="1:22" ht="12.75">
      <c r="A79" s="17" t="s">
        <v>42</v>
      </c>
      <c r="B79" s="19" t="s">
        <v>14</v>
      </c>
      <c r="C79" s="153"/>
      <c r="D79" s="158"/>
      <c r="E79" s="193"/>
      <c r="F79" s="193"/>
      <c r="G79" s="21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2.75">
      <c r="A80" s="17" t="s">
        <v>42</v>
      </c>
      <c r="B80" s="7" t="s">
        <v>27</v>
      </c>
      <c r="C80" s="154">
        <v>130</v>
      </c>
      <c r="D80" s="158"/>
      <c r="E80" s="193"/>
      <c r="F80" s="193"/>
      <c r="G80" s="212"/>
      <c r="H80" s="14">
        <v>130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2.75">
      <c r="A81" s="17" t="s">
        <v>42</v>
      </c>
      <c r="B81" s="1" t="s">
        <v>26</v>
      </c>
      <c r="C81" s="154">
        <v>125</v>
      </c>
      <c r="D81" s="158"/>
      <c r="E81" s="193"/>
      <c r="F81" s="193"/>
      <c r="G81" s="212"/>
      <c r="H81" s="14">
        <v>125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2.75">
      <c r="A82" s="17" t="s">
        <v>42</v>
      </c>
      <c r="B82" s="1" t="s">
        <v>28</v>
      </c>
      <c r="C82" s="154">
        <v>255</v>
      </c>
      <c r="D82" s="158"/>
      <c r="E82" s="193"/>
      <c r="F82" s="193"/>
      <c r="G82" s="212"/>
      <c r="H82" s="14">
        <v>255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2.75">
      <c r="A83" s="17" t="s">
        <v>42</v>
      </c>
      <c r="B83" s="1" t="s">
        <v>29</v>
      </c>
      <c r="C83" s="154">
        <v>138</v>
      </c>
      <c r="D83" s="158"/>
      <c r="E83" s="193"/>
      <c r="F83" s="193"/>
      <c r="G83" s="212"/>
      <c r="H83" s="14">
        <v>138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2.75">
      <c r="A84" s="17" t="s">
        <v>42</v>
      </c>
      <c r="B84" s="1" t="s">
        <v>30</v>
      </c>
      <c r="C84" s="154">
        <v>320</v>
      </c>
      <c r="D84" s="158"/>
      <c r="E84" s="193"/>
      <c r="F84" s="193"/>
      <c r="G84" s="212"/>
      <c r="H84" s="14">
        <v>320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2.75">
      <c r="A85" s="17" t="s">
        <v>42</v>
      </c>
      <c r="B85" s="1" t="s">
        <v>31</v>
      </c>
      <c r="C85" s="154">
        <v>121</v>
      </c>
      <c r="D85" s="158"/>
      <c r="E85" s="193"/>
      <c r="F85" s="193"/>
      <c r="G85" s="212"/>
      <c r="H85" s="14">
        <v>121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2.75">
      <c r="A86" s="17" t="s">
        <v>42</v>
      </c>
      <c r="B86" s="1" t="s">
        <v>32</v>
      </c>
      <c r="C86" s="154">
        <v>300</v>
      </c>
      <c r="D86" s="158"/>
      <c r="E86" s="193"/>
      <c r="F86" s="193"/>
      <c r="G86" s="212"/>
      <c r="H86" s="14">
        <v>300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2.75">
      <c r="A87" s="17" t="s">
        <v>42</v>
      </c>
      <c r="B87" s="1" t="s">
        <v>33</v>
      </c>
      <c r="C87" s="154">
        <v>17</v>
      </c>
      <c r="D87" s="158"/>
      <c r="E87" s="193"/>
      <c r="F87" s="193"/>
      <c r="G87" s="212"/>
      <c r="H87" s="14">
        <v>17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2:22" ht="12.75">
      <c r="B88" s="19" t="s">
        <v>69</v>
      </c>
      <c r="C88" s="35">
        <f>SUM(C72:C87)</f>
        <v>1707</v>
      </c>
      <c r="D88" s="158"/>
      <c r="E88" s="193"/>
      <c r="F88" s="193"/>
      <c r="G88" s="21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16" customFormat="1" ht="13.5" thickBot="1">
      <c r="A89" s="17" t="s">
        <v>45</v>
      </c>
      <c r="B89" s="16" t="s">
        <v>53</v>
      </c>
      <c r="C89" s="155" t="s">
        <v>51</v>
      </c>
      <c r="D89" s="118">
        <f>-SUM(D70:D88)+D65</f>
        <v>84.15050000000002</v>
      </c>
      <c r="E89" s="244">
        <f>-SUM(E70:E88)+E65</f>
        <v>225.8945</v>
      </c>
      <c r="F89" s="244">
        <f>-SUM(F70:F88)+F65</f>
        <v>65.48999999999997</v>
      </c>
      <c r="G89" s="245">
        <f>-SUM(G70:G88)+G65</f>
        <v>5.389499999999998</v>
      </c>
      <c r="H89" s="245">
        <f>-SUM(H67:H88)+H65</f>
        <v>-224.83399999999995</v>
      </c>
      <c r="I89" s="248">
        <f aca="true" t="shared" si="19" ref="I89:V89">-SUM(I70:I88)+I65</f>
        <v>48.64398730799998</v>
      </c>
      <c r="J89" s="248">
        <f t="shared" si="19"/>
        <v>7.926754517591988</v>
      </c>
      <c r="K89" s="248">
        <f t="shared" si="19"/>
        <v>55.620670516829094</v>
      </c>
      <c r="L89" s="248">
        <f t="shared" si="19"/>
        <v>-32.057234013986616</v>
      </c>
      <c r="M89" s="253">
        <f t="shared" si="19"/>
        <v>39.7262872866892</v>
      </c>
      <c r="N89" s="253">
        <f t="shared" si="19"/>
        <v>-19.07753234098739</v>
      </c>
      <c r="O89" s="253">
        <f t="shared" si="19"/>
        <v>50.132011651997715</v>
      </c>
      <c r="P89" s="253">
        <f t="shared" si="19"/>
        <v>-27.244856241934926</v>
      </c>
      <c r="Q89" s="278">
        <f t="shared" si="19"/>
        <v>43.1009347463353</v>
      </c>
      <c r="R89" s="244">
        <f t="shared" si="19"/>
        <v>49.78153985054422</v>
      </c>
      <c r="S89" s="278">
        <f t="shared" si="19"/>
        <v>83.3940648907784</v>
      </c>
      <c r="T89" s="244">
        <f t="shared" si="19"/>
        <v>171.79479774193106</v>
      </c>
      <c r="U89" s="278">
        <f t="shared" si="19"/>
        <v>314.8917662067907</v>
      </c>
      <c r="V89" s="244">
        <f t="shared" si="19"/>
        <v>362.07202085413843</v>
      </c>
    </row>
    <row r="90" spans="3:22" ht="14.25" thickBot="1" thickTop="1">
      <c r="C90" s="4"/>
      <c r="D90" s="158"/>
      <c r="E90" s="193"/>
      <c r="F90" s="193"/>
      <c r="G90" s="21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76" customFormat="1" ht="13.5" thickBot="1">
      <c r="A91" s="32" t="s">
        <v>52</v>
      </c>
      <c r="B91" s="176" t="s">
        <v>23</v>
      </c>
      <c r="C91" s="216"/>
      <c r="D91" s="215">
        <f>+D89</f>
        <v>84.15050000000002</v>
      </c>
      <c r="E91" s="215">
        <f>+D91+E89</f>
        <v>310.045</v>
      </c>
      <c r="F91" s="215">
        <f aca="true" t="shared" si="20" ref="F91:R91">+E91+F89</f>
        <v>375.53499999999997</v>
      </c>
      <c r="G91" s="257">
        <f t="shared" si="20"/>
        <v>380.92449999999997</v>
      </c>
      <c r="H91" s="217">
        <f t="shared" si="20"/>
        <v>156.09050000000002</v>
      </c>
      <c r="I91" s="217">
        <f t="shared" si="20"/>
        <v>204.73448730799998</v>
      </c>
      <c r="J91" s="217">
        <f t="shared" si="20"/>
        <v>212.66124182559196</v>
      </c>
      <c r="K91" s="217">
        <f t="shared" si="20"/>
        <v>268.28191234242104</v>
      </c>
      <c r="L91" s="215">
        <f t="shared" si="20"/>
        <v>236.22467832843444</v>
      </c>
      <c r="M91" s="215">
        <f t="shared" si="20"/>
        <v>275.95096561512366</v>
      </c>
      <c r="N91" s="215">
        <f t="shared" si="20"/>
        <v>256.8734332741363</v>
      </c>
      <c r="O91" s="215">
        <f t="shared" si="20"/>
        <v>307.00544492613403</v>
      </c>
      <c r="P91" s="215">
        <f t="shared" si="20"/>
        <v>279.7605886841991</v>
      </c>
      <c r="Q91" s="215">
        <f t="shared" si="20"/>
        <v>322.86152343053436</v>
      </c>
      <c r="R91" s="247">
        <f t="shared" si="20"/>
        <v>372.6430632810786</v>
      </c>
      <c r="S91" s="215">
        <f>+R91+S89</f>
        <v>456.037128171857</v>
      </c>
      <c r="T91" s="215">
        <f>+S91+T89</f>
        <v>627.831925913788</v>
      </c>
      <c r="U91" s="215">
        <f>+T91+U89</f>
        <v>942.7236921205788</v>
      </c>
      <c r="V91" s="215">
        <f>+U91+V89</f>
        <v>1304.7957129747172</v>
      </c>
    </row>
    <row r="92" spans="1:22" s="176" customFormat="1" ht="12.75">
      <c r="A92" s="32"/>
      <c r="C92" s="216"/>
      <c r="D92" s="215"/>
      <c r="E92" s="215"/>
      <c r="F92" s="215"/>
      <c r="G92" s="217"/>
      <c r="H92" s="217"/>
      <c r="I92" s="217"/>
      <c r="J92" s="217"/>
      <c r="K92" s="217"/>
      <c r="L92" s="215"/>
      <c r="M92" s="217"/>
      <c r="N92" s="215"/>
      <c r="O92" s="217"/>
      <c r="P92" s="217"/>
      <c r="Q92" s="217"/>
      <c r="R92" s="215"/>
      <c r="S92" s="215"/>
      <c r="T92" s="215"/>
      <c r="U92" s="215"/>
      <c r="V92" s="215"/>
    </row>
    <row r="93" spans="1:22" s="220" customFormat="1" ht="15.75">
      <c r="A93" s="221"/>
      <c r="B93" s="223" t="s">
        <v>128</v>
      </c>
      <c r="C93" s="224"/>
      <c r="D93" s="224">
        <f>-SUM(D71:D87)</f>
        <v>-96</v>
      </c>
      <c r="E93" s="224">
        <f aca="true" t="shared" si="21" ref="E93:V93">-SUM(E71:E87)</f>
        <v>213.7</v>
      </c>
      <c r="F93" s="224">
        <f t="shared" si="21"/>
        <v>-25</v>
      </c>
      <c r="G93" s="224">
        <f t="shared" si="21"/>
        <v>-25</v>
      </c>
      <c r="H93" s="224">
        <f t="shared" si="21"/>
        <v>-1051.5</v>
      </c>
      <c r="I93" s="224">
        <f t="shared" si="21"/>
        <v>0</v>
      </c>
      <c r="J93" s="224">
        <f t="shared" si="21"/>
        <v>-50</v>
      </c>
      <c r="K93" s="224">
        <f t="shared" si="21"/>
        <v>0</v>
      </c>
      <c r="L93" s="224">
        <f t="shared" si="21"/>
        <v>-85.16056877581582</v>
      </c>
      <c r="M93" s="224">
        <f t="shared" si="21"/>
        <v>0</v>
      </c>
      <c r="N93" s="224">
        <f t="shared" si="21"/>
        <v>-69.6222165363888</v>
      </c>
      <c r="O93" s="224">
        <f t="shared" si="21"/>
        <v>0</v>
      </c>
      <c r="P93" s="224">
        <f t="shared" si="21"/>
        <v>-75.50752188554935</v>
      </c>
      <c r="Q93" s="224">
        <f t="shared" si="21"/>
        <v>-143.93417360253576</v>
      </c>
      <c r="R93" s="224">
        <f t="shared" si="21"/>
        <v>-140.2763312616533</v>
      </c>
      <c r="S93" s="224">
        <f t="shared" si="21"/>
        <v>-142.54340333414814</v>
      </c>
      <c r="T93" s="224">
        <f t="shared" si="21"/>
        <v>-93.5</v>
      </c>
      <c r="U93" s="224">
        <f t="shared" si="21"/>
        <v>0</v>
      </c>
      <c r="V93" s="225">
        <f t="shared" si="21"/>
        <v>0</v>
      </c>
    </row>
    <row r="94" spans="1:22" s="232" customFormat="1" ht="15.75">
      <c r="A94" s="228"/>
      <c r="B94" s="223" t="s">
        <v>127</v>
      </c>
      <c r="C94" s="224">
        <v>1891</v>
      </c>
      <c r="D94" s="224">
        <f>+C94+D93</f>
        <v>1795</v>
      </c>
      <c r="E94" s="224">
        <f aca="true" t="shared" si="22" ref="E94:V94">+D94+E93</f>
        <v>2008.7</v>
      </c>
      <c r="F94" s="224">
        <f t="shared" si="22"/>
        <v>1983.7</v>
      </c>
      <c r="G94" s="224">
        <f t="shared" si="22"/>
        <v>1958.7</v>
      </c>
      <c r="H94" s="224">
        <f t="shared" si="22"/>
        <v>907.2</v>
      </c>
      <c r="I94" s="224">
        <f t="shared" si="22"/>
        <v>907.2</v>
      </c>
      <c r="J94" s="224">
        <f t="shared" si="22"/>
        <v>857.2</v>
      </c>
      <c r="K94" s="224">
        <f t="shared" si="22"/>
        <v>857.2</v>
      </c>
      <c r="L94" s="224">
        <f t="shared" si="22"/>
        <v>772.0394312241842</v>
      </c>
      <c r="M94" s="224">
        <f t="shared" si="22"/>
        <v>772.0394312241842</v>
      </c>
      <c r="N94" s="224">
        <f t="shared" si="22"/>
        <v>702.4172146877954</v>
      </c>
      <c r="O94" s="224">
        <f t="shared" si="22"/>
        <v>702.4172146877954</v>
      </c>
      <c r="P94" s="224">
        <f t="shared" si="22"/>
        <v>626.9096928022461</v>
      </c>
      <c r="Q94" s="224">
        <f t="shared" si="22"/>
        <v>482.97551919971033</v>
      </c>
      <c r="R94" s="224">
        <f t="shared" si="22"/>
        <v>342.69918793805704</v>
      </c>
      <c r="S94" s="224">
        <f t="shared" si="22"/>
        <v>200.1557846039089</v>
      </c>
      <c r="T94" s="224">
        <f t="shared" si="22"/>
        <v>106.6557846039089</v>
      </c>
      <c r="U94" s="224">
        <f t="shared" si="22"/>
        <v>106.6557846039089</v>
      </c>
      <c r="V94" s="225">
        <f t="shared" si="22"/>
        <v>106.6557846039089</v>
      </c>
    </row>
    <row r="95" spans="1:22" s="16" customFormat="1" ht="12.75">
      <c r="A95" s="17"/>
      <c r="D95" s="105"/>
      <c r="E95" s="36"/>
      <c r="F95" s="36"/>
      <c r="G95" s="36"/>
      <c r="H95" s="36"/>
      <c r="I95" s="36"/>
      <c r="J95" s="36"/>
      <c r="K95" s="36"/>
      <c r="L95" s="105"/>
      <c r="M95" s="36"/>
      <c r="N95" s="105"/>
      <c r="O95" s="36"/>
      <c r="P95" s="36"/>
      <c r="Q95" s="36"/>
      <c r="R95" s="36"/>
      <c r="S95" s="36"/>
      <c r="T95" s="36"/>
      <c r="U95" s="36"/>
      <c r="V95" s="36"/>
    </row>
    <row r="96" ht="15.75">
      <c r="B96" s="268" t="s">
        <v>50</v>
      </c>
    </row>
    <row r="97" ht="15.75">
      <c r="B97" s="268"/>
    </row>
    <row r="98" ht="15.75">
      <c r="B98" s="268"/>
    </row>
    <row r="100" spans="1:8" s="281" customFormat="1" ht="15">
      <c r="A100" s="280"/>
      <c r="B100" s="281" t="s">
        <v>146</v>
      </c>
      <c r="D100" s="281">
        <v>27.995</v>
      </c>
      <c r="E100" s="281">
        <f>+D100</f>
        <v>27.995</v>
      </c>
      <c r="F100" s="281">
        <f>+E100</f>
        <v>27.995</v>
      </c>
      <c r="G100" s="281">
        <f>+F100</f>
        <v>27.995</v>
      </c>
      <c r="H100" s="281">
        <v>27.995</v>
      </c>
    </row>
    <row r="101" s="281" customFormat="1" ht="15">
      <c r="A101" s="280"/>
    </row>
    <row r="102" spans="1:22" s="281" customFormat="1" ht="15">
      <c r="A102" s="280"/>
      <c r="B102" s="281" t="s">
        <v>147</v>
      </c>
      <c r="E102" s="282"/>
      <c r="F102" s="282"/>
      <c r="G102" s="282">
        <v>24</v>
      </c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</row>
    <row r="103" spans="1:22" s="281" customFormat="1" ht="15">
      <c r="A103" s="280"/>
      <c r="B103" s="281" t="s">
        <v>150</v>
      </c>
      <c r="E103" s="282">
        <v>58</v>
      </c>
      <c r="F103" s="282">
        <v>67.7</v>
      </c>
      <c r="G103" s="282">
        <v>77.1</v>
      </c>
      <c r="H103" s="282"/>
      <c r="I103" s="282"/>
      <c r="J103" s="282"/>
      <c r="K103" s="282"/>
      <c r="L103" s="283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</row>
    <row r="104" s="281" customFormat="1" ht="15">
      <c r="A104" s="280"/>
    </row>
    <row r="105" spans="1:7" s="285" customFormat="1" ht="15.75">
      <c r="A105" s="284"/>
      <c r="B105" s="285" t="s">
        <v>148</v>
      </c>
      <c r="F105" s="286">
        <f>+(F103*4)/F$100</f>
        <v>9.673155920700125</v>
      </c>
      <c r="G105" s="286">
        <f>+(G103*4)/G$100</f>
        <v>11.016252902303982</v>
      </c>
    </row>
    <row r="106" s="281" customFormat="1" ht="15">
      <c r="A106" s="280"/>
    </row>
    <row r="107" spans="1:7" s="285" customFormat="1" ht="15.75">
      <c r="A107" s="284"/>
      <c r="B107" s="285" t="s">
        <v>149</v>
      </c>
      <c r="E107" s="286">
        <f>+E23/E$100*4</f>
        <v>20.860868012145026</v>
      </c>
      <c r="F107" s="286">
        <f>+F23/F$100*4</f>
        <v>20.74656188605108</v>
      </c>
      <c r="G107" s="286">
        <f>+G23/G$100*4</f>
        <v>19.689230219682088</v>
      </c>
    </row>
  </sheetData>
  <sheetProtection/>
  <printOptions/>
  <pageMargins left="0.75" right="0.75" top="1" bottom="1" header="0.5" footer="0.5"/>
  <pageSetup orientation="portrait" paperSize="9"/>
  <ignoredErrors>
    <ignoredError sqref="H89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0"/>
  <sheetViews>
    <sheetView zoomScalePageLayoutView="0" workbookViewId="0" topLeftCell="A1">
      <selection activeCell="L53" sqref="L53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10" customWidth="1"/>
    <col min="25" max="25" width="9.140625" style="5" customWidth="1"/>
  </cols>
  <sheetData>
    <row r="1" spans="2:12" ht="31.5">
      <c r="B1" s="113" t="s">
        <v>130</v>
      </c>
      <c r="G1" s="98"/>
      <c r="H1" s="65"/>
      <c r="I1" s="64"/>
      <c r="J1" s="65" t="s">
        <v>108</v>
      </c>
      <c r="K1" s="64"/>
      <c r="L1" s="64"/>
    </row>
    <row r="2" spans="1:25" s="98" customFormat="1" ht="30" customHeight="1">
      <c r="A2" s="31"/>
      <c r="B2" s="97"/>
      <c r="H2" s="99"/>
      <c r="I2" s="258"/>
      <c r="J2" s="259" t="s">
        <v>145</v>
      </c>
      <c r="K2" s="258"/>
      <c r="X2" s="100"/>
      <c r="Y2" s="101"/>
    </row>
    <row r="3" spans="2:6" ht="20.25">
      <c r="B3" s="114" t="s">
        <v>110</v>
      </c>
      <c r="C3" s="95"/>
      <c r="D3" s="185"/>
      <c r="E3" s="104"/>
      <c r="F3" s="96"/>
    </row>
    <row r="4" spans="1:25" s="19" customFormat="1" ht="13.5" thickBot="1">
      <c r="A4" s="17"/>
      <c r="C4" s="144"/>
      <c r="D4" s="175" t="s">
        <v>20</v>
      </c>
      <c r="E4" s="160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19">
        <v>2015</v>
      </c>
      <c r="R4" s="19">
        <v>2016</v>
      </c>
      <c r="S4" s="19">
        <v>2017</v>
      </c>
      <c r="T4" s="19">
        <v>2018</v>
      </c>
      <c r="U4" s="19">
        <v>2019</v>
      </c>
      <c r="V4" s="19">
        <v>2020</v>
      </c>
      <c r="W4" s="17"/>
      <c r="X4" s="24"/>
      <c r="Y4" s="23"/>
    </row>
    <row r="5" spans="2:25" s="129" customFormat="1" ht="17.25" thickBot="1">
      <c r="B5" s="136" t="s">
        <v>105</v>
      </c>
      <c r="C5" s="137"/>
      <c r="D5" s="137"/>
      <c r="E5" s="138"/>
      <c r="F5" s="138"/>
      <c r="G5" s="138"/>
      <c r="H5" s="139">
        <v>0.0225</v>
      </c>
      <c r="I5" s="138">
        <f aca="true" t="shared" si="0" ref="I5:O6">+H5</f>
        <v>0.0225</v>
      </c>
      <c r="J5" s="138">
        <f t="shared" si="0"/>
        <v>0.0225</v>
      </c>
      <c r="K5" s="138">
        <f t="shared" si="0"/>
        <v>0.0225</v>
      </c>
      <c r="L5" s="139">
        <f t="shared" si="0"/>
        <v>0.0225</v>
      </c>
      <c r="M5" s="181">
        <f t="shared" si="0"/>
        <v>0.0225</v>
      </c>
      <c r="N5" s="138">
        <f t="shared" si="0"/>
        <v>0.0225</v>
      </c>
      <c r="O5" s="138">
        <f t="shared" si="0"/>
        <v>0.0225</v>
      </c>
      <c r="P5" s="139">
        <f>+O5</f>
        <v>0.0225</v>
      </c>
      <c r="Q5" s="179">
        <v>0.15</v>
      </c>
      <c r="R5" s="179">
        <v>0.15</v>
      </c>
      <c r="S5" s="139">
        <v>0.15</v>
      </c>
      <c r="T5" s="139">
        <v>0.15</v>
      </c>
      <c r="U5" s="139">
        <v>0.15</v>
      </c>
      <c r="V5" s="139">
        <v>0.15</v>
      </c>
      <c r="X5" s="134"/>
      <c r="Y5" s="135"/>
    </row>
    <row r="6" spans="2:25" s="129" customFormat="1" ht="17.25" thickBot="1">
      <c r="B6" s="130" t="s">
        <v>106</v>
      </c>
      <c r="C6" s="131"/>
      <c r="D6" s="131"/>
      <c r="E6" s="138"/>
      <c r="F6" s="132"/>
      <c r="G6" s="132"/>
      <c r="H6" s="133">
        <v>-0.044</v>
      </c>
      <c r="I6" s="182">
        <f t="shared" si="0"/>
        <v>-0.044</v>
      </c>
      <c r="J6" s="132">
        <f t="shared" si="0"/>
        <v>-0.044</v>
      </c>
      <c r="K6" s="132">
        <f t="shared" si="0"/>
        <v>-0.044</v>
      </c>
      <c r="L6" s="133">
        <f t="shared" si="0"/>
        <v>-0.044</v>
      </c>
      <c r="M6" s="182">
        <f t="shared" si="0"/>
        <v>-0.044</v>
      </c>
      <c r="N6" s="132">
        <f t="shared" si="0"/>
        <v>-0.044</v>
      </c>
      <c r="O6" s="132">
        <f t="shared" si="0"/>
        <v>-0.044</v>
      </c>
      <c r="P6" s="133">
        <f>+O6</f>
        <v>-0.044</v>
      </c>
      <c r="Q6" s="180">
        <v>-0.15</v>
      </c>
      <c r="R6" s="180">
        <v>-0.15</v>
      </c>
      <c r="S6" s="133">
        <v>-0.1</v>
      </c>
      <c r="T6" s="133">
        <v>-0.05</v>
      </c>
      <c r="U6" s="133">
        <v>0</v>
      </c>
      <c r="V6" s="133">
        <v>0</v>
      </c>
      <c r="X6" s="134"/>
      <c r="Y6" s="135"/>
    </row>
    <row r="7" spans="2:7" ht="20.25">
      <c r="B7" s="94"/>
      <c r="C7" s="95"/>
      <c r="D7" s="95"/>
      <c r="E7" s="104"/>
      <c r="F7" s="238"/>
      <c r="G7" s="237"/>
    </row>
    <row r="8" spans="1:25" s="16" customFormat="1" ht="15.75">
      <c r="A8" s="17"/>
      <c r="D8" s="155"/>
      <c r="E8" s="189"/>
      <c r="F8" s="189"/>
      <c r="G8" s="199" t="s">
        <v>56</v>
      </c>
      <c r="X8" s="24"/>
      <c r="Y8" s="23"/>
    </row>
    <row r="9" spans="1:25" s="19" customFormat="1" ht="12.75">
      <c r="A9" s="17"/>
      <c r="C9" s="144" t="s">
        <v>36</v>
      </c>
      <c r="D9" s="175" t="s">
        <v>20</v>
      </c>
      <c r="E9" s="239" t="s">
        <v>1</v>
      </c>
      <c r="F9" s="239" t="s">
        <v>2</v>
      </c>
      <c r="G9" s="200" t="s">
        <v>3</v>
      </c>
      <c r="H9" s="20" t="s">
        <v>4</v>
      </c>
      <c r="I9" s="21" t="s">
        <v>5</v>
      </c>
      <c r="J9" s="21" t="s">
        <v>6</v>
      </c>
      <c r="K9" s="21" t="s">
        <v>7</v>
      </c>
      <c r="L9" s="21" t="s">
        <v>8</v>
      </c>
      <c r="M9" s="22" t="s">
        <v>9</v>
      </c>
      <c r="N9" s="22" t="s">
        <v>10</v>
      </c>
      <c r="O9" s="22" t="s">
        <v>11</v>
      </c>
      <c r="P9" s="22" t="s">
        <v>12</v>
      </c>
      <c r="Q9" s="19">
        <v>2015</v>
      </c>
      <c r="R9" s="19">
        <v>2016</v>
      </c>
      <c r="S9" s="19">
        <v>2017</v>
      </c>
      <c r="T9" s="19">
        <v>2018</v>
      </c>
      <c r="U9" s="19">
        <v>2019</v>
      </c>
      <c r="V9" s="19">
        <v>2020</v>
      </c>
      <c r="W9" s="17" t="s">
        <v>46</v>
      </c>
      <c r="X9" s="24"/>
      <c r="Y9" s="23"/>
    </row>
    <row r="10" spans="1:25" s="2" customFormat="1" ht="12.75">
      <c r="A10" s="31"/>
      <c r="B10" s="53" t="s">
        <v>57</v>
      </c>
      <c r="C10" s="145"/>
      <c r="D10" s="149"/>
      <c r="E10" s="149"/>
      <c r="F10" s="149"/>
      <c r="G10" s="201"/>
      <c r="X10" s="9"/>
      <c r="Y10" s="11"/>
    </row>
    <row r="11" spans="1:25" s="2" customFormat="1" ht="12.75">
      <c r="A11" s="31"/>
      <c r="B11" s="103"/>
      <c r="C11" s="145"/>
      <c r="D11" s="149"/>
      <c r="E11" s="149"/>
      <c r="F11" s="149"/>
      <c r="G11" s="201"/>
      <c r="X11" s="9"/>
      <c r="Y11" s="11"/>
    </row>
    <row r="12" spans="1:25" s="2" customFormat="1" ht="12.75">
      <c r="A12" s="31"/>
      <c r="B12" s="72" t="s">
        <v>73</v>
      </c>
      <c r="C12" s="145"/>
      <c r="D12" s="157">
        <v>90</v>
      </c>
      <c r="E12" s="157">
        <v>85.9</v>
      </c>
      <c r="F12" s="157">
        <v>89.7</v>
      </c>
      <c r="G12" s="202">
        <v>92</v>
      </c>
      <c r="H12" s="12">
        <f aca="true" t="shared" si="1" ref="H12:P12">+G12*(1+H13)</f>
        <v>94.07</v>
      </c>
      <c r="I12" s="12">
        <f t="shared" si="1"/>
        <v>96.18657499999999</v>
      </c>
      <c r="J12" s="12">
        <f t="shared" si="1"/>
        <v>98.35077293749998</v>
      </c>
      <c r="K12" s="12">
        <f t="shared" si="1"/>
        <v>100.56366532859373</v>
      </c>
      <c r="L12" s="12">
        <f t="shared" si="1"/>
        <v>102.82634779848708</v>
      </c>
      <c r="M12" s="12">
        <f t="shared" si="1"/>
        <v>105.13994062395304</v>
      </c>
      <c r="N12" s="12">
        <f t="shared" si="1"/>
        <v>107.50558928799198</v>
      </c>
      <c r="O12" s="12">
        <f t="shared" si="1"/>
        <v>109.92446504697179</v>
      </c>
      <c r="P12" s="12">
        <f t="shared" si="1"/>
        <v>112.39776551052866</v>
      </c>
      <c r="Q12" s="12">
        <f>+P12*4</f>
        <v>449.59106204211463</v>
      </c>
      <c r="R12" s="12">
        <f>+Q12*(1+R13)</f>
        <v>517.0297213484317</v>
      </c>
      <c r="S12" s="12">
        <f>+R12*(1+S13)</f>
        <v>594.5841795506965</v>
      </c>
      <c r="T12" s="12">
        <f>+S12*(1+T13)</f>
        <v>683.7718064833009</v>
      </c>
      <c r="U12" s="12">
        <f>+T12*(1+U13)</f>
        <v>786.337577455796</v>
      </c>
      <c r="V12" s="12">
        <f>+U12*(1+V13)</f>
        <v>904.2882140741654</v>
      </c>
      <c r="X12" s="9"/>
      <c r="Y12" s="11"/>
    </row>
    <row r="13" spans="1:25" s="2" customFormat="1" ht="12.75">
      <c r="A13" s="31"/>
      <c r="B13" s="73" t="s">
        <v>76</v>
      </c>
      <c r="C13" s="146"/>
      <c r="D13" s="146"/>
      <c r="E13" s="190"/>
      <c r="F13" s="190"/>
      <c r="G13" s="203"/>
      <c r="H13" s="77">
        <f aca="true" t="shared" si="2" ref="H13:R13">+H5</f>
        <v>0.0225</v>
      </c>
      <c r="I13" s="77">
        <f t="shared" si="2"/>
        <v>0.0225</v>
      </c>
      <c r="J13" s="77">
        <f t="shared" si="2"/>
        <v>0.0225</v>
      </c>
      <c r="K13" s="77">
        <f t="shared" si="2"/>
        <v>0.0225</v>
      </c>
      <c r="L13" s="77">
        <f t="shared" si="2"/>
        <v>0.0225</v>
      </c>
      <c r="M13" s="77">
        <f t="shared" si="2"/>
        <v>0.0225</v>
      </c>
      <c r="N13" s="77">
        <f t="shared" si="2"/>
        <v>0.0225</v>
      </c>
      <c r="O13" s="77">
        <f t="shared" si="2"/>
        <v>0.0225</v>
      </c>
      <c r="P13" s="77">
        <f t="shared" si="2"/>
        <v>0.0225</v>
      </c>
      <c r="Q13" s="77">
        <f t="shared" si="2"/>
        <v>0.15</v>
      </c>
      <c r="R13" s="77">
        <f t="shared" si="2"/>
        <v>0.15</v>
      </c>
      <c r="S13" s="77">
        <f>+S5</f>
        <v>0.15</v>
      </c>
      <c r="T13" s="77">
        <f>+T5</f>
        <v>0.15</v>
      </c>
      <c r="U13" s="77">
        <f>+U5</f>
        <v>0.15</v>
      </c>
      <c r="V13" s="77">
        <f>+V5</f>
        <v>0.15</v>
      </c>
      <c r="X13" s="9"/>
      <c r="Y13" s="11"/>
    </row>
    <row r="14" spans="1:22" s="111" customFormat="1" ht="12.75">
      <c r="A14" s="109"/>
      <c r="B14" s="110" t="s">
        <v>122</v>
      </c>
      <c r="C14" s="107"/>
      <c r="D14" s="107">
        <v>0.394</v>
      </c>
      <c r="E14" s="107">
        <v>0.4</v>
      </c>
      <c r="F14" s="107">
        <f aca="true" t="shared" si="3" ref="F14:R14">+E14</f>
        <v>0.4</v>
      </c>
      <c r="G14" s="204">
        <f t="shared" si="3"/>
        <v>0.4</v>
      </c>
      <c r="H14" s="111">
        <f t="shared" si="3"/>
        <v>0.4</v>
      </c>
      <c r="I14" s="111">
        <f t="shared" si="3"/>
        <v>0.4</v>
      </c>
      <c r="J14" s="111">
        <f t="shared" si="3"/>
        <v>0.4</v>
      </c>
      <c r="K14" s="111">
        <f t="shared" si="3"/>
        <v>0.4</v>
      </c>
      <c r="L14" s="111">
        <f t="shared" si="3"/>
        <v>0.4</v>
      </c>
      <c r="M14" s="111">
        <f t="shared" si="3"/>
        <v>0.4</v>
      </c>
      <c r="N14" s="111">
        <f t="shared" si="3"/>
        <v>0.4</v>
      </c>
      <c r="O14" s="111">
        <f t="shared" si="3"/>
        <v>0.4</v>
      </c>
      <c r="P14" s="111">
        <f t="shared" si="3"/>
        <v>0.4</v>
      </c>
      <c r="Q14" s="111">
        <f t="shared" si="3"/>
        <v>0.4</v>
      </c>
      <c r="R14" s="111">
        <f t="shared" si="3"/>
        <v>0.4</v>
      </c>
      <c r="S14" s="111">
        <f>+R14</f>
        <v>0.4</v>
      </c>
      <c r="T14" s="111">
        <f>+S14</f>
        <v>0.4</v>
      </c>
      <c r="U14" s="111">
        <f>+T14</f>
        <v>0.4</v>
      </c>
      <c r="V14" s="111">
        <f>+U14</f>
        <v>0.4</v>
      </c>
    </row>
    <row r="15" spans="1:25" s="2" customFormat="1" ht="12.75">
      <c r="A15" s="31"/>
      <c r="B15" s="26" t="s">
        <v>75</v>
      </c>
      <c r="C15" s="145"/>
      <c r="D15" s="80">
        <f>+D12*D14</f>
        <v>35.46</v>
      </c>
      <c r="E15" s="80">
        <f>+E12*E14</f>
        <v>34.36000000000001</v>
      </c>
      <c r="F15" s="80">
        <f aca="true" t="shared" si="4" ref="F15:R15">+F12*F14</f>
        <v>35.88</v>
      </c>
      <c r="G15" s="205">
        <f t="shared" si="4"/>
        <v>36.800000000000004</v>
      </c>
      <c r="H15" s="80">
        <f t="shared" si="4"/>
        <v>37.628</v>
      </c>
      <c r="I15" s="80">
        <f t="shared" si="4"/>
        <v>38.47463</v>
      </c>
      <c r="J15" s="80">
        <f t="shared" si="4"/>
        <v>39.340309174999994</v>
      </c>
      <c r="K15" s="80">
        <f t="shared" si="4"/>
        <v>40.22546613143749</v>
      </c>
      <c r="L15" s="80">
        <f t="shared" si="4"/>
        <v>41.13053911939483</v>
      </c>
      <c r="M15" s="80">
        <f t="shared" si="4"/>
        <v>42.05597624958122</v>
      </c>
      <c r="N15" s="80">
        <f t="shared" si="4"/>
        <v>43.0022357151968</v>
      </c>
      <c r="O15" s="80">
        <f t="shared" si="4"/>
        <v>43.96978601878872</v>
      </c>
      <c r="P15" s="80">
        <f t="shared" si="4"/>
        <v>44.959106204211466</v>
      </c>
      <c r="Q15" s="80">
        <f t="shared" si="4"/>
        <v>179.83642481684586</v>
      </c>
      <c r="R15" s="80">
        <f t="shared" si="4"/>
        <v>206.81188853937272</v>
      </c>
      <c r="S15" s="80">
        <f>+S12*S14</f>
        <v>237.8336718202786</v>
      </c>
      <c r="T15" s="80">
        <f>+T12*T14</f>
        <v>273.5087225933204</v>
      </c>
      <c r="U15" s="80">
        <f>+U12*U14</f>
        <v>314.5350309823184</v>
      </c>
      <c r="V15" s="80">
        <f>+V12*V14</f>
        <v>361.71528562966614</v>
      </c>
      <c r="X15" s="9"/>
      <c r="Y15" s="11"/>
    </row>
    <row r="16" spans="1:25" s="2" customFormat="1" ht="12.75">
      <c r="A16" s="31"/>
      <c r="B16" s="72"/>
      <c r="C16" s="145"/>
      <c r="D16" s="157"/>
      <c r="E16" s="157"/>
      <c r="F16" s="157"/>
      <c r="G16" s="20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9"/>
      <c r="Y16" s="11"/>
    </row>
    <row r="17" spans="1:25" s="2" customFormat="1" ht="12.75">
      <c r="A17" s="31"/>
      <c r="B17" s="72" t="s">
        <v>74</v>
      </c>
      <c r="C17" s="145"/>
      <c r="D17" s="157">
        <v>223.3</v>
      </c>
      <c r="E17" s="157">
        <f>+E22-E12</f>
        <v>203.20000000000002</v>
      </c>
      <c r="F17" s="157">
        <f>+F22-F12</f>
        <v>196.8</v>
      </c>
      <c r="G17" s="202">
        <f>+G22-G12</f>
        <v>175.7</v>
      </c>
      <c r="H17" s="12">
        <f aca="true" t="shared" si="5" ref="H17:R17">+G17*(1+H18)</f>
        <v>167.96919999999997</v>
      </c>
      <c r="I17" s="12">
        <f t="shared" si="5"/>
        <v>160.57855519999995</v>
      </c>
      <c r="J17" s="12">
        <f t="shared" si="5"/>
        <v>153.51309877119996</v>
      </c>
      <c r="K17" s="12">
        <f t="shared" si="5"/>
        <v>146.75852242526716</v>
      </c>
      <c r="L17" s="12">
        <f t="shared" si="5"/>
        <v>140.3011474385554</v>
      </c>
      <c r="M17" s="12">
        <f t="shared" si="5"/>
        <v>134.12789695125895</v>
      </c>
      <c r="N17" s="12">
        <f t="shared" si="5"/>
        <v>128.22626948540355</v>
      </c>
      <c r="O17" s="12">
        <f t="shared" si="5"/>
        <v>122.58431362804579</v>
      </c>
      <c r="P17" s="12">
        <f t="shared" si="5"/>
        <v>117.19060382841177</v>
      </c>
      <c r="Q17" s="12">
        <f>+P17*4</f>
        <v>468.76241531364707</v>
      </c>
      <c r="R17" s="12">
        <f t="shared" si="5"/>
        <v>398.4480530166</v>
      </c>
      <c r="S17" s="12">
        <f>+R17*(1+S18)</f>
        <v>358.60324771494</v>
      </c>
      <c r="T17" s="12">
        <f>+S17*(1+T18)</f>
        <v>340.673085329193</v>
      </c>
      <c r="U17" s="12">
        <f>+T17*(1+U18)</f>
        <v>340.673085329193</v>
      </c>
      <c r="V17" s="12">
        <f>+U17*(1+V18)</f>
        <v>340.673085329193</v>
      </c>
      <c r="X17" s="9"/>
      <c r="Y17" s="11"/>
    </row>
    <row r="18" spans="1:25" s="2" customFormat="1" ht="12.75">
      <c r="A18" s="31"/>
      <c r="B18" s="73" t="s">
        <v>79</v>
      </c>
      <c r="C18" s="145"/>
      <c r="D18" s="157"/>
      <c r="E18" s="191"/>
      <c r="F18" s="191"/>
      <c r="G18" s="206"/>
      <c r="H18" s="78">
        <f aca="true" t="shared" si="6" ref="H18:R18">+H6</f>
        <v>-0.044</v>
      </c>
      <c r="I18" s="78">
        <f t="shared" si="6"/>
        <v>-0.044</v>
      </c>
      <c r="J18" s="78">
        <f t="shared" si="6"/>
        <v>-0.044</v>
      </c>
      <c r="K18" s="78">
        <f t="shared" si="6"/>
        <v>-0.044</v>
      </c>
      <c r="L18" s="78">
        <f t="shared" si="6"/>
        <v>-0.044</v>
      </c>
      <c r="M18" s="78">
        <f t="shared" si="6"/>
        <v>-0.044</v>
      </c>
      <c r="N18" s="78">
        <f t="shared" si="6"/>
        <v>-0.044</v>
      </c>
      <c r="O18" s="78">
        <f t="shared" si="6"/>
        <v>-0.044</v>
      </c>
      <c r="P18" s="78">
        <f t="shared" si="6"/>
        <v>-0.044</v>
      </c>
      <c r="Q18" s="78">
        <f t="shared" si="6"/>
        <v>-0.15</v>
      </c>
      <c r="R18" s="78">
        <f t="shared" si="6"/>
        <v>-0.15</v>
      </c>
      <c r="S18" s="78">
        <f>+S6</f>
        <v>-0.1</v>
      </c>
      <c r="T18" s="78">
        <f>+T6</f>
        <v>-0.05</v>
      </c>
      <c r="U18" s="78">
        <f>+U6</f>
        <v>0</v>
      </c>
      <c r="V18" s="78">
        <f>+V6</f>
        <v>0</v>
      </c>
      <c r="X18" s="9"/>
      <c r="Y18" s="11"/>
    </row>
    <row r="19" spans="1:23" s="111" customFormat="1" ht="15">
      <c r="A19" s="109"/>
      <c r="B19" s="110" t="s">
        <v>122</v>
      </c>
      <c r="C19" s="147"/>
      <c r="D19" s="107">
        <v>0.5</v>
      </c>
      <c r="E19" s="107">
        <v>0.55</v>
      </c>
      <c r="F19" s="107">
        <v>0.56</v>
      </c>
      <c r="G19" s="204">
        <v>0.545</v>
      </c>
      <c r="H19" s="107">
        <v>0.54</v>
      </c>
      <c r="I19" s="107">
        <v>0.54</v>
      </c>
      <c r="J19" s="107">
        <v>0.535</v>
      </c>
      <c r="K19" s="107">
        <v>0.53</v>
      </c>
      <c r="L19" s="107">
        <v>0.53</v>
      </c>
      <c r="M19" s="107">
        <v>0.53</v>
      </c>
      <c r="N19" s="107">
        <v>0.53</v>
      </c>
      <c r="O19" s="107">
        <v>0.53</v>
      </c>
      <c r="P19" s="107">
        <v>0.53</v>
      </c>
      <c r="Q19" s="107">
        <v>0.53</v>
      </c>
      <c r="R19" s="107">
        <v>0.53</v>
      </c>
      <c r="S19" s="107">
        <v>0.53</v>
      </c>
      <c r="T19" s="107">
        <v>0.53</v>
      </c>
      <c r="U19" s="107">
        <v>0.53</v>
      </c>
      <c r="V19" s="107">
        <v>0.53</v>
      </c>
      <c r="W19" s="128"/>
    </row>
    <row r="20" spans="1:25" s="2" customFormat="1" ht="12.75">
      <c r="A20" s="31"/>
      <c r="B20" s="26" t="s">
        <v>77</v>
      </c>
      <c r="C20" s="145"/>
      <c r="D20" s="80">
        <f>+D17*D19</f>
        <v>111.65</v>
      </c>
      <c r="E20" s="80">
        <f>+E23-E15</f>
        <v>111.63999999999999</v>
      </c>
      <c r="F20" s="80">
        <f>+F23-F15</f>
        <v>109.32</v>
      </c>
      <c r="G20" s="205">
        <f aca="true" t="shared" si="7" ref="G20:R20">+G17*G19</f>
        <v>95.7565</v>
      </c>
      <c r="H20" s="80">
        <f t="shared" si="7"/>
        <v>90.703368</v>
      </c>
      <c r="I20" s="80">
        <f t="shared" si="7"/>
        <v>86.71241980799998</v>
      </c>
      <c r="J20" s="80">
        <f t="shared" si="7"/>
        <v>82.12950784259199</v>
      </c>
      <c r="K20" s="80">
        <f t="shared" si="7"/>
        <v>77.7820168853916</v>
      </c>
      <c r="L20" s="80">
        <f t="shared" si="7"/>
        <v>74.35960814243437</v>
      </c>
      <c r="M20" s="80">
        <f t="shared" si="7"/>
        <v>71.08778538416725</v>
      </c>
      <c r="N20" s="80">
        <f t="shared" si="7"/>
        <v>67.95992282726388</v>
      </c>
      <c r="O20" s="80">
        <f t="shared" si="7"/>
        <v>64.96968622286427</v>
      </c>
      <c r="P20" s="80">
        <f t="shared" si="7"/>
        <v>62.11102002905824</v>
      </c>
      <c r="Q20" s="80">
        <f t="shared" si="7"/>
        <v>248.44408011623295</v>
      </c>
      <c r="R20" s="80">
        <f t="shared" si="7"/>
        <v>211.17746809879802</v>
      </c>
      <c r="S20" s="80">
        <f>+S17*S19</f>
        <v>190.0597212889182</v>
      </c>
      <c r="T20" s="80">
        <f>+T17*T19</f>
        <v>180.5567352244723</v>
      </c>
      <c r="U20" s="80">
        <f>+U17*U19</f>
        <v>180.5567352244723</v>
      </c>
      <c r="V20" s="80">
        <f>+V17*V19</f>
        <v>180.5567352244723</v>
      </c>
      <c r="X20" s="9"/>
      <c r="Y20" s="11"/>
    </row>
    <row r="21" spans="1:25" s="2" customFormat="1" ht="12.75">
      <c r="A21" s="31"/>
      <c r="B21" s="73"/>
      <c r="C21" s="145"/>
      <c r="D21" s="38"/>
      <c r="E21" s="38"/>
      <c r="F21" s="38"/>
      <c r="G21" s="20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9"/>
      <c r="Y21" s="11"/>
    </row>
    <row r="22" spans="1:25" s="2" customFormat="1" ht="12.75">
      <c r="A22" s="31"/>
      <c r="B22" s="73" t="s">
        <v>80</v>
      </c>
      <c r="C22" s="145"/>
      <c r="D22" s="157">
        <f>+D12+D17</f>
        <v>313.3</v>
      </c>
      <c r="E22" s="157">
        <v>289.1</v>
      </c>
      <c r="F22" s="157">
        <v>286.5</v>
      </c>
      <c r="G22" s="202">
        <v>267.7</v>
      </c>
      <c r="H22" s="12">
        <f aca="true" t="shared" si="8" ref="H22:R22">+H12+H17</f>
        <v>262.03919999999994</v>
      </c>
      <c r="I22" s="12">
        <f t="shared" si="8"/>
        <v>256.76513019999993</v>
      </c>
      <c r="J22" s="12">
        <f t="shared" si="8"/>
        <v>251.86387170869995</v>
      </c>
      <c r="K22" s="12">
        <f t="shared" si="8"/>
        <v>247.32218775386087</v>
      </c>
      <c r="L22" s="12">
        <f t="shared" si="8"/>
        <v>243.12749523704247</v>
      </c>
      <c r="M22" s="12">
        <f t="shared" si="8"/>
        <v>239.26783757521198</v>
      </c>
      <c r="N22" s="12">
        <f t="shared" si="8"/>
        <v>235.73185877339552</v>
      </c>
      <c r="O22" s="12">
        <f t="shared" si="8"/>
        <v>232.5087786750176</v>
      </c>
      <c r="P22" s="12">
        <f t="shared" si="8"/>
        <v>229.58836933894042</v>
      </c>
      <c r="Q22" s="12">
        <f t="shared" si="8"/>
        <v>918.3534773557617</v>
      </c>
      <c r="R22" s="12">
        <f t="shared" si="8"/>
        <v>915.4777743650318</v>
      </c>
      <c r="S22" s="12">
        <f>+S12+S17</f>
        <v>953.1874272656364</v>
      </c>
      <c r="T22" s="12">
        <f>+T12+T17</f>
        <v>1024.444891812494</v>
      </c>
      <c r="U22" s="12">
        <f>+U12+U17</f>
        <v>1127.010662784989</v>
      </c>
      <c r="V22" s="12">
        <f>+V12+V17</f>
        <v>1244.9612994033582</v>
      </c>
      <c r="X22" s="9"/>
      <c r="Y22" s="11"/>
    </row>
    <row r="23" spans="1:25" s="26" customFormat="1" ht="13.5" thickBot="1">
      <c r="A23" s="32" t="s">
        <v>15</v>
      </c>
      <c r="B23" s="32" t="s">
        <v>112</v>
      </c>
      <c r="C23" s="148"/>
      <c r="D23" s="81">
        <f>+D15+D20</f>
        <v>147.11</v>
      </c>
      <c r="E23" s="81">
        <v>146</v>
      </c>
      <c r="F23" s="81">
        <v>145.2</v>
      </c>
      <c r="G23" s="208">
        <v>137.8</v>
      </c>
      <c r="H23" s="81">
        <f aca="true" t="shared" si="9" ref="H23:R23">+H15+H20</f>
        <v>128.331368</v>
      </c>
      <c r="I23" s="81">
        <f t="shared" si="9"/>
        <v>125.18704980799998</v>
      </c>
      <c r="J23" s="81">
        <f t="shared" si="9"/>
        <v>121.46981701759199</v>
      </c>
      <c r="K23" s="81">
        <f t="shared" si="9"/>
        <v>118.0074830168291</v>
      </c>
      <c r="L23" s="81">
        <f t="shared" si="9"/>
        <v>115.49014726182921</v>
      </c>
      <c r="M23" s="81">
        <f t="shared" si="9"/>
        <v>113.14376163374847</v>
      </c>
      <c r="N23" s="81">
        <f t="shared" si="9"/>
        <v>110.96215854246068</v>
      </c>
      <c r="O23" s="81">
        <f t="shared" si="9"/>
        <v>108.939472241653</v>
      </c>
      <c r="P23" s="81">
        <f t="shared" si="9"/>
        <v>107.0701262332697</v>
      </c>
      <c r="Q23" s="81">
        <f t="shared" si="9"/>
        <v>428.2805049330788</v>
      </c>
      <c r="R23" s="81">
        <f t="shared" si="9"/>
        <v>417.98935663817076</v>
      </c>
      <c r="S23" s="81">
        <f>+S15+S20</f>
        <v>427.89339310919684</v>
      </c>
      <c r="T23" s="81">
        <f>+T15+T20</f>
        <v>454.06545781779266</v>
      </c>
      <c r="U23" s="81">
        <f>+U15+U20</f>
        <v>495.0917662067907</v>
      </c>
      <c r="V23" s="81">
        <f>+V15+V20</f>
        <v>542.2720208541384</v>
      </c>
      <c r="X23" s="28"/>
      <c r="Y23" s="29"/>
    </row>
    <row r="24" spans="1:25" s="26" customFormat="1" ht="13.5" thickTop="1">
      <c r="A24" s="32"/>
      <c r="B24" s="26" t="s">
        <v>81</v>
      </c>
      <c r="C24" s="148" t="s">
        <v>125</v>
      </c>
      <c r="D24" s="83">
        <f>+D23/D22</f>
        <v>0.4695499521225663</v>
      </c>
      <c r="E24" s="241">
        <f>+E23/E22</f>
        <v>0.5050155655482531</v>
      </c>
      <c r="F24" s="241">
        <f>+F23/F22</f>
        <v>0.506806282722513</v>
      </c>
      <c r="G24" s="242">
        <f aca="true" t="shared" si="10" ref="G24:R24">+G23/G22</f>
        <v>0.5147553231228988</v>
      </c>
      <c r="H24" s="241">
        <f t="shared" si="10"/>
        <v>0.4897411074373606</v>
      </c>
      <c r="I24" s="240">
        <f t="shared" si="10"/>
        <v>0.4875547147328341</v>
      </c>
      <c r="J24" s="240">
        <f t="shared" si="10"/>
        <v>0.4822836089730298</v>
      </c>
      <c r="K24" s="240">
        <f t="shared" si="10"/>
        <v>0.4771407049587969</v>
      </c>
      <c r="L24" s="240">
        <f t="shared" si="10"/>
        <v>0.47501886674409066</v>
      </c>
      <c r="M24" s="83">
        <f t="shared" si="10"/>
        <v>0.47287492870069764</v>
      </c>
      <c r="N24" s="83">
        <f t="shared" si="10"/>
        <v>0.4707134585873964</v>
      </c>
      <c r="O24" s="83">
        <f t="shared" si="10"/>
        <v>0.4685391788751339</v>
      </c>
      <c r="P24" s="83">
        <f t="shared" si="10"/>
        <v>0.4663569262744425</v>
      </c>
      <c r="Q24" s="83">
        <f t="shared" si="10"/>
        <v>0.4663569262744425</v>
      </c>
      <c r="R24" s="83">
        <f t="shared" si="10"/>
        <v>0.45658056191269625</v>
      </c>
      <c r="S24" s="83">
        <f>+S23/S22</f>
        <v>0.44890792814659164</v>
      </c>
      <c r="T24" s="83">
        <f>+T23/T22</f>
        <v>0.44323073056125023</v>
      </c>
      <c r="U24" s="83">
        <f>+U23/U22</f>
        <v>0.4392964348565744</v>
      </c>
      <c r="V24" s="83">
        <f>+V23/V22</f>
        <v>0.435573395826858</v>
      </c>
      <c r="X24" s="28"/>
      <c r="Y24" s="29"/>
    </row>
    <row r="25" spans="1:25" s="2" customFormat="1" ht="12.75">
      <c r="A25" s="31"/>
      <c r="B25" s="103"/>
      <c r="C25" s="145"/>
      <c r="D25" s="149"/>
      <c r="E25" s="149"/>
      <c r="F25" s="149"/>
      <c r="G25" s="201"/>
      <c r="X25" s="9"/>
      <c r="Y25" s="11"/>
    </row>
    <row r="26" spans="1:25" s="26" customFormat="1" ht="12.75">
      <c r="A26" s="32"/>
      <c r="B26" s="25"/>
      <c r="C26" s="148"/>
      <c r="D26" s="38"/>
      <c r="E26" s="38"/>
      <c r="F26" s="38"/>
      <c r="G26" s="20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X26" s="28"/>
      <c r="Y26" s="29"/>
    </row>
    <row r="27" spans="1:25" s="2" customFormat="1" ht="12.75">
      <c r="A27" s="31"/>
      <c r="B27" s="53" t="s">
        <v>47</v>
      </c>
      <c r="C27" s="149"/>
      <c r="D27" s="157"/>
      <c r="E27" s="157"/>
      <c r="F27" s="157"/>
      <c r="G27" s="20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9"/>
      <c r="Y27" s="11"/>
    </row>
    <row r="28" spans="1:25" s="2" customFormat="1" ht="12.75">
      <c r="A28" s="31"/>
      <c r="B28" s="25" t="s">
        <v>17</v>
      </c>
      <c r="C28" s="149"/>
      <c r="D28" s="157"/>
      <c r="E28" s="157"/>
      <c r="F28" s="157"/>
      <c r="G28" s="20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X28" s="9"/>
      <c r="Y28" s="11"/>
    </row>
    <row r="29" spans="1:25" s="2" customFormat="1" ht="12.75">
      <c r="A29" s="31"/>
      <c r="B29" s="1" t="s">
        <v>89</v>
      </c>
      <c r="C29" s="149"/>
      <c r="D29" s="157">
        <f>266*0.05/4</f>
        <v>3.325</v>
      </c>
      <c r="E29" s="157">
        <v>2.07</v>
      </c>
      <c r="F29" s="157">
        <v>1.7825</v>
      </c>
      <c r="G29" s="202">
        <v>1.495</v>
      </c>
      <c r="H29" s="12">
        <v>1.2075</v>
      </c>
      <c r="I29" s="12">
        <v>0.92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X29" s="9"/>
      <c r="Y29" s="11"/>
    </row>
    <row r="30" spans="1:25" s="2" customFormat="1" ht="12.75">
      <c r="A30" s="31"/>
      <c r="B30" s="1" t="s">
        <v>90</v>
      </c>
      <c r="C30" s="149"/>
      <c r="D30" s="157"/>
      <c r="E30" s="157">
        <f>+Y70/4</f>
        <v>2.629</v>
      </c>
      <c r="F30" s="157">
        <f>+E30</f>
        <v>2.629</v>
      </c>
      <c r="G30" s="202">
        <f>+F30</f>
        <v>2.629</v>
      </c>
      <c r="H30" s="12">
        <f>+G30</f>
        <v>2.629</v>
      </c>
      <c r="I30" s="12">
        <f>+H30*0.5</f>
        <v>1.3145</v>
      </c>
      <c r="J30" s="12"/>
      <c r="K30" s="12"/>
      <c r="L30" s="12"/>
      <c r="M30" s="27">
        <v>1.65</v>
      </c>
      <c r="N30" s="27">
        <v>1.65</v>
      </c>
      <c r="O30" s="27">
        <v>1.65</v>
      </c>
      <c r="P30" s="27">
        <v>1.65</v>
      </c>
      <c r="Q30" s="12"/>
      <c r="R30" s="12"/>
      <c r="S30" s="12"/>
      <c r="T30" s="12"/>
      <c r="U30" s="12"/>
      <c r="V30" s="12"/>
      <c r="X30" s="9"/>
      <c r="Y30" s="11"/>
    </row>
    <row r="31" spans="1:25" s="2" customFormat="1" ht="12.75">
      <c r="A31" s="31"/>
      <c r="B31" s="1" t="s">
        <v>25</v>
      </c>
      <c r="C31" s="187"/>
      <c r="D31" s="157">
        <v>0</v>
      </c>
      <c r="E31" s="157">
        <v>0</v>
      </c>
      <c r="F31" s="157"/>
      <c r="G31" s="20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31" s="9"/>
      <c r="Y31" s="11"/>
    </row>
    <row r="32" spans="1:25" s="2" customFormat="1" ht="12.75">
      <c r="A32" s="31"/>
      <c r="B32" s="1" t="s">
        <v>34</v>
      </c>
      <c r="C32" s="149"/>
      <c r="D32" s="157">
        <f aca="true" t="shared" si="11" ref="D32:K32">+$Y73/4</f>
        <v>2.875</v>
      </c>
      <c r="E32" s="157">
        <f t="shared" si="11"/>
        <v>2.875</v>
      </c>
      <c r="F32" s="157">
        <f t="shared" si="11"/>
        <v>2.875</v>
      </c>
      <c r="G32" s="202">
        <f t="shared" si="11"/>
        <v>2.875</v>
      </c>
      <c r="H32" s="12">
        <f t="shared" si="11"/>
        <v>2.875</v>
      </c>
      <c r="I32" s="12">
        <f t="shared" si="11"/>
        <v>2.875</v>
      </c>
      <c r="J32" s="12">
        <f t="shared" si="11"/>
        <v>2.875</v>
      </c>
      <c r="K32" s="12">
        <f t="shared" si="11"/>
        <v>2.875</v>
      </c>
      <c r="L32" s="127">
        <v>0.9</v>
      </c>
      <c r="M32" s="127">
        <f>+$Y73/4*0</f>
        <v>0</v>
      </c>
      <c r="N32" s="127">
        <f>+M32</f>
        <v>0</v>
      </c>
      <c r="O32" s="127">
        <f>+N32</f>
        <v>0</v>
      </c>
      <c r="P32" s="127">
        <f>+O32</f>
        <v>0</v>
      </c>
      <c r="Q32" s="127">
        <f>+P32*4</f>
        <v>0</v>
      </c>
      <c r="R32" s="127">
        <f>+Q32</f>
        <v>0</v>
      </c>
      <c r="S32" s="127">
        <f>+R32</f>
        <v>0</v>
      </c>
      <c r="T32" s="127">
        <f>+S32</f>
        <v>0</v>
      </c>
      <c r="U32" s="127">
        <f>+T32</f>
        <v>0</v>
      </c>
      <c r="V32" s="127">
        <f>+U32</f>
        <v>0</v>
      </c>
      <c r="X32" s="9"/>
      <c r="Y32" s="11"/>
    </row>
    <row r="33" spans="1:25" s="2" customFormat="1" ht="12.75">
      <c r="A33" s="31"/>
      <c r="B33" s="1" t="s">
        <v>14</v>
      </c>
      <c r="C33" s="149"/>
      <c r="D33" s="157"/>
      <c r="E33" s="157"/>
      <c r="F33" s="157"/>
      <c r="G33" s="20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X33" s="9"/>
      <c r="Y33" s="11"/>
    </row>
    <row r="34" spans="1:25" s="2" customFormat="1" ht="12.75">
      <c r="A34" s="31"/>
      <c r="B34" s="7" t="s">
        <v>27</v>
      </c>
      <c r="C34" s="149"/>
      <c r="D34" s="157">
        <f aca="true" t="shared" si="12" ref="D34:P41">+$Y75/4</f>
        <v>2.1125000000000003</v>
      </c>
      <c r="E34" s="157">
        <f t="shared" si="12"/>
        <v>2.1125000000000003</v>
      </c>
      <c r="F34" s="157">
        <f t="shared" si="12"/>
        <v>2.1125000000000003</v>
      </c>
      <c r="G34" s="202">
        <f t="shared" si="12"/>
        <v>2.1125000000000003</v>
      </c>
      <c r="H34" s="12">
        <f t="shared" si="12"/>
        <v>2.1125000000000003</v>
      </c>
      <c r="I34" s="12">
        <f t="shared" si="12"/>
        <v>2.1125000000000003</v>
      </c>
      <c r="J34" s="12">
        <f t="shared" si="12"/>
        <v>2.1125000000000003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X34" s="9"/>
      <c r="Y34" s="11"/>
    </row>
    <row r="35" spans="1:25" s="2" customFormat="1" ht="12.75">
      <c r="A35" s="31"/>
      <c r="B35" s="1" t="s">
        <v>26</v>
      </c>
      <c r="C35" s="149"/>
      <c r="D35" s="157">
        <f t="shared" si="12"/>
        <v>2.140625</v>
      </c>
      <c r="E35" s="157">
        <f t="shared" si="12"/>
        <v>2.140625</v>
      </c>
      <c r="F35" s="157">
        <f t="shared" si="12"/>
        <v>2.140625</v>
      </c>
      <c r="G35" s="202">
        <f t="shared" si="12"/>
        <v>2.140625</v>
      </c>
      <c r="H35" s="12">
        <f t="shared" si="12"/>
        <v>2.140625</v>
      </c>
      <c r="I35" s="12">
        <f t="shared" si="12"/>
        <v>2.140625</v>
      </c>
      <c r="J35" s="12">
        <f t="shared" si="12"/>
        <v>2.140625</v>
      </c>
      <c r="K35" s="12">
        <f t="shared" si="12"/>
        <v>2.140625</v>
      </c>
      <c r="L35" s="12">
        <f t="shared" si="12"/>
        <v>2.140625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X35" s="9"/>
      <c r="Y35" s="11"/>
    </row>
    <row r="36" spans="1:25" s="2" customFormat="1" ht="12.75">
      <c r="A36" s="31"/>
      <c r="B36" s="1" t="s">
        <v>28</v>
      </c>
      <c r="C36" s="149"/>
      <c r="D36" s="157">
        <f t="shared" si="12"/>
        <v>3.640125</v>
      </c>
      <c r="E36" s="157">
        <f t="shared" si="12"/>
        <v>3.640125</v>
      </c>
      <c r="F36" s="157">
        <f t="shared" si="12"/>
        <v>3.640125</v>
      </c>
      <c r="G36" s="202">
        <f t="shared" si="12"/>
        <v>3.640125</v>
      </c>
      <c r="H36" s="12">
        <f t="shared" si="12"/>
        <v>3.640125</v>
      </c>
      <c r="I36" s="12">
        <f t="shared" si="12"/>
        <v>3.640125</v>
      </c>
      <c r="J36" s="12">
        <f t="shared" si="12"/>
        <v>3.640125</v>
      </c>
      <c r="K36" s="12">
        <f t="shared" si="12"/>
        <v>3.640125</v>
      </c>
      <c r="L36" s="12">
        <f t="shared" si="12"/>
        <v>3.640125</v>
      </c>
      <c r="M36" s="12">
        <f t="shared" si="12"/>
        <v>3.640125</v>
      </c>
      <c r="N36" s="12"/>
      <c r="O36" s="12"/>
      <c r="P36" s="12"/>
      <c r="Q36" s="12"/>
      <c r="R36" s="12"/>
      <c r="S36" s="12"/>
      <c r="T36" s="12"/>
      <c r="U36" s="12"/>
      <c r="V36" s="12"/>
      <c r="X36" s="9"/>
      <c r="Y36" s="11"/>
    </row>
    <row r="37" spans="1:25" s="2" customFormat="1" ht="12.75">
      <c r="A37" s="31"/>
      <c r="B37" s="1" t="s">
        <v>29</v>
      </c>
      <c r="C37" s="149"/>
      <c r="D37" s="157">
        <f t="shared" si="12"/>
        <v>2.5185</v>
      </c>
      <c r="E37" s="157">
        <f t="shared" si="12"/>
        <v>2.5185</v>
      </c>
      <c r="F37" s="157">
        <f t="shared" si="12"/>
        <v>2.5185</v>
      </c>
      <c r="G37" s="202">
        <f t="shared" si="12"/>
        <v>2.5185</v>
      </c>
      <c r="H37" s="12">
        <f t="shared" si="12"/>
        <v>2.5185</v>
      </c>
      <c r="I37" s="12">
        <f t="shared" si="12"/>
        <v>2.5185</v>
      </c>
      <c r="J37" s="12">
        <f t="shared" si="12"/>
        <v>2.5185</v>
      </c>
      <c r="K37" s="12">
        <f t="shared" si="12"/>
        <v>2.5185</v>
      </c>
      <c r="L37" s="12">
        <f t="shared" si="12"/>
        <v>2.5185</v>
      </c>
      <c r="M37" s="12">
        <f t="shared" si="12"/>
        <v>2.5185</v>
      </c>
      <c r="N37" s="12">
        <f t="shared" si="12"/>
        <v>2.5185</v>
      </c>
      <c r="O37" s="12">
        <f t="shared" si="12"/>
        <v>2.5185</v>
      </c>
      <c r="P37" s="12">
        <f t="shared" si="12"/>
        <v>2.5185</v>
      </c>
      <c r="Q37" s="12">
        <v>1.5</v>
      </c>
      <c r="R37" s="12"/>
      <c r="S37" s="12"/>
      <c r="T37" s="12"/>
      <c r="U37" s="12"/>
      <c r="V37" s="12"/>
      <c r="X37" s="9"/>
      <c r="Y37" s="11"/>
    </row>
    <row r="38" spans="1:25" s="2" customFormat="1" ht="12.75">
      <c r="A38" s="31"/>
      <c r="B38" s="1" t="s">
        <v>30</v>
      </c>
      <c r="C38" s="149"/>
      <c r="D38" s="157">
        <f t="shared" si="12"/>
        <v>4.2</v>
      </c>
      <c r="E38" s="157">
        <f t="shared" si="12"/>
        <v>4.2</v>
      </c>
      <c r="F38" s="157">
        <f t="shared" si="12"/>
        <v>4.2</v>
      </c>
      <c r="G38" s="202">
        <f t="shared" si="12"/>
        <v>4.2</v>
      </c>
      <c r="H38" s="12">
        <f t="shared" si="12"/>
        <v>4.2</v>
      </c>
      <c r="I38" s="12">
        <f t="shared" si="12"/>
        <v>4.2</v>
      </c>
      <c r="J38" s="12">
        <f t="shared" si="12"/>
        <v>4.2</v>
      </c>
      <c r="K38" s="12">
        <f t="shared" si="12"/>
        <v>4.2</v>
      </c>
      <c r="L38" s="12">
        <f t="shared" si="12"/>
        <v>4.2</v>
      </c>
      <c r="M38" s="12">
        <f t="shared" si="12"/>
        <v>4.2</v>
      </c>
      <c r="N38" s="12">
        <f t="shared" si="12"/>
        <v>4.2</v>
      </c>
      <c r="O38" s="12">
        <f t="shared" si="12"/>
        <v>4.2</v>
      </c>
      <c r="P38" s="12">
        <f t="shared" si="12"/>
        <v>4.2</v>
      </c>
      <c r="Q38" s="12">
        <f>+P38*4</f>
        <v>16.8</v>
      </c>
      <c r="R38" s="12">
        <f>+Q38/6</f>
        <v>2.8000000000000003</v>
      </c>
      <c r="S38" s="12"/>
      <c r="T38" s="12"/>
      <c r="U38" s="12"/>
      <c r="V38" s="12"/>
      <c r="X38" s="9"/>
      <c r="Y38" s="11"/>
    </row>
    <row r="39" spans="1:25" s="2" customFormat="1" ht="12.75">
      <c r="A39" s="31"/>
      <c r="B39" s="1" t="s">
        <v>31</v>
      </c>
      <c r="C39" s="149"/>
      <c r="D39" s="157">
        <f t="shared" si="12"/>
        <v>1.769625</v>
      </c>
      <c r="E39" s="157">
        <f t="shared" si="12"/>
        <v>1.769625</v>
      </c>
      <c r="F39" s="157">
        <f t="shared" si="12"/>
        <v>1.769625</v>
      </c>
      <c r="G39" s="202">
        <f t="shared" si="12"/>
        <v>1.769625</v>
      </c>
      <c r="H39" s="12">
        <f t="shared" si="12"/>
        <v>1.769625</v>
      </c>
      <c r="I39" s="12">
        <f t="shared" si="12"/>
        <v>1.769625</v>
      </c>
      <c r="J39" s="12">
        <f t="shared" si="12"/>
        <v>1.769625</v>
      </c>
      <c r="K39" s="12">
        <f t="shared" si="12"/>
        <v>1.769625</v>
      </c>
      <c r="L39" s="12">
        <f t="shared" si="12"/>
        <v>1.769625</v>
      </c>
      <c r="M39" s="12">
        <f t="shared" si="12"/>
        <v>1.769625</v>
      </c>
      <c r="N39" s="12">
        <f t="shared" si="12"/>
        <v>1.769625</v>
      </c>
      <c r="O39" s="12">
        <f t="shared" si="12"/>
        <v>1.769625</v>
      </c>
      <c r="P39" s="12">
        <f t="shared" si="12"/>
        <v>1.769625</v>
      </c>
      <c r="Q39" s="12">
        <f>+P39*4</f>
        <v>7.0785</v>
      </c>
      <c r="R39" s="12">
        <f aca="true" t="shared" si="13" ref="R39:T41">+Q39</f>
        <v>7.0785</v>
      </c>
      <c r="S39" s="12">
        <f t="shared" si="13"/>
        <v>7.0785</v>
      </c>
      <c r="T39" s="12">
        <f t="shared" si="13"/>
        <v>7.0785</v>
      </c>
      <c r="U39" s="12">
        <f>+T39*0.9</f>
        <v>6.37065</v>
      </c>
      <c r="V39" s="12"/>
      <c r="X39" s="9"/>
      <c r="Y39" s="11"/>
    </row>
    <row r="40" spans="1:25" s="2" customFormat="1" ht="12.75">
      <c r="A40" s="31"/>
      <c r="B40" s="1" t="s">
        <v>32</v>
      </c>
      <c r="C40" s="149"/>
      <c r="D40" s="157">
        <f t="shared" si="12"/>
        <v>5.8125</v>
      </c>
      <c r="E40" s="157">
        <f t="shared" si="12"/>
        <v>5.8125</v>
      </c>
      <c r="F40" s="157">
        <f t="shared" si="12"/>
        <v>5.8125</v>
      </c>
      <c r="G40" s="202">
        <f t="shared" si="12"/>
        <v>5.8125</v>
      </c>
      <c r="H40" s="12">
        <f t="shared" si="12"/>
        <v>5.8125</v>
      </c>
      <c r="I40" s="12">
        <f t="shared" si="12"/>
        <v>5.8125</v>
      </c>
      <c r="J40" s="12">
        <f t="shared" si="12"/>
        <v>5.8125</v>
      </c>
      <c r="K40" s="12">
        <f t="shared" si="12"/>
        <v>5.8125</v>
      </c>
      <c r="L40" s="12">
        <f t="shared" si="12"/>
        <v>5.8125</v>
      </c>
      <c r="M40" s="12">
        <f t="shared" si="12"/>
        <v>5.8125</v>
      </c>
      <c r="N40" s="12">
        <f t="shared" si="12"/>
        <v>5.8125</v>
      </c>
      <c r="O40" s="12">
        <f t="shared" si="12"/>
        <v>5.8125</v>
      </c>
      <c r="P40" s="12">
        <f t="shared" si="12"/>
        <v>5.8125</v>
      </c>
      <c r="Q40" s="12">
        <f>+P40*4</f>
        <v>23.25</v>
      </c>
      <c r="R40" s="12">
        <f t="shared" si="13"/>
        <v>23.25</v>
      </c>
      <c r="S40" s="12">
        <f t="shared" si="13"/>
        <v>23.25</v>
      </c>
      <c r="T40" s="12">
        <f t="shared" si="13"/>
        <v>23.25</v>
      </c>
      <c r="U40" s="12">
        <f>+T40</f>
        <v>23.25</v>
      </c>
      <c r="V40" s="12">
        <f>+U40*0.25</f>
        <v>5.8125</v>
      </c>
      <c r="X40" s="9"/>
      <c r="Y40" s="11"/>
    </row>
    <row r="41" spans="1:25" s="2" customFormat="1" ht="12.75">
      <c r="A41" s="31"/>
      <c r="B41" s="1" t="s">
        <v>33</v>
      </c>
      <c r="C41" s="149"/>
      <c r="D41" s="157">
        <f t="shared" si="12"/>
        <v>0.265625</v>
      </c>
      <c r="E41" s="157">
        <f t="shared" si="12"/>
        <v>0.265625</v>
      </c>
      <c r="F41" s="157">
        <f t="shared" si="12"/>
        <v>0.265625</v>
      </c>
      <c r="G41" s="202">
        <f t="shared" si="12"/>
        <v>0.265625</v>
      </c>
      <c r="H41" s="12">
        <f t="shared" si="12"/>
        <v>0.265625</v>
      </c>
      <c r="I41" s="12">
        <f t="shared" si="12"/>
        <v>0.265625</v>
      </c>
      <c r="J41" s="12">
        <f t="shared" si="12"/>
        <v>0.265625</v>
      </c>
      <c r="K41" s="12">
        <f t="shared" si="12"/>
        <v>0.265625</v>
      </c>
      <c r="L41" s="12">
        <f t="shared" si="12"/>
        <v>0.265625</v>
      </c>
      <c r="M41" s="12">
        <f t="shared" si="12"/>
        <v>0.265625</v>
      </c>
      <c r="N41" s="12">
        <f t="shared" si="12"/>
        <v>0.265625</v>
      </c>
      <c r="O41" s="12">
        <f t="shared" si="12"/>
        <v>0.265625</v>
      </c>
      <c r="P41" s="12">
        <f t="shared" si="12"/>
        <v>0.265625</v>
      </c>
      <c r="Q41" s="12">
        <f>+P41*4</f>
        <v>1.0625</v>
      </c>
      <c r="R41" s="12">
        <f t="shared" si="13"/>
        <v>1.0625</v>
      </c>
      <c r="S41" s="12">
        <f t="shared" si="13"/>
        <v>1.0625</v>
      </c>
      <c r="T41" s="12">
        <f t="shared" si="13"/>
        <v>1.0625</v>
      </c>
      <c r="U41" s="12">
        <f>+T41</f>
        <v>1.0625</v>
      </c>
      <c r="V41" s="12">
        <f>+U41</f>
        <v>1.0625</v>
      </c>
      <c r="X41" s="9"/>
      <c r="Y41" s="11"/>
    </row>
    <row r="42" spans="1:25" s="2" customFormat="1" ht="12.75">
      <c r="A42" s="31"/>
      <c r="B42" s="19" t="s">
        <v>101</v>
      </c>
      <c r="C42" s="149"/>
      <c r="D42" s="157">
        <f>35.6-28.7</f>
        <v>6.900000000000002</v>
      </c>
      <c r="E42" s="157">
        <f>32.9-30</f>
        <v>2.8999999999999986</v>
      </c>
      <c r="F42" s="157">
        <v>-2.7</v>
      </c>
      <c r="G42" s="202">
        <v>5.47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X42" s="9"/>
      <c r="Y42" s="11"/>
    </row>
    <row r="43" spans="1:25" s="2" customFormat="1" ht="12.75">
      <c r="A43" s="31"/>
      <c r="B43" s="19"/>
      <c r="C43" s="149"/>
      <c r="D43" s="157"/>
      <c r="E43" s="157"/>
      <c r="F43" s="157"/>
      <c r="G43" s="20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43" s="9"/>
      <c r="Y43" s="11"/>
    </row>
    <row r="44" spans="1:25" s="2" customFormat="1" ht="12.75">
      <c r="A44" s="31" t="s">
        <v>119</v>
      </c>
      <c r="B44" s="19" t="s">
        <v>115</v>
      </c>
      <c r="C44" s="149"/>
      <c r="D44" s="157"/>
      <c r="E44" s="157">
        <v>1.9</v>
      </c>
      <c r="F44" s="157">
        <f>7.4-E44</f>
        <v>5.5</v>
      </c>
      <c r="G44" s="20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X44" s="9"/>
      <c r="Y44" s="11"/>
    </row>
    <row r="45" spans="1:25" s="2" customFormat="1" ht="12.75">
      <c r="A45" s="31"/>
      <c r="B45" s="25"/>
      <c r="C45" s="149"/>
      <c r="D45" s="157"/>
      <c r="E45" s="157"/>
      <c r="F45" s="157"/>
      <c r="G45" s="20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X45" s="9"/>
      <c r="Y45" s="11"/>
    </row>
    <row r="46" spans="1:25" s="2" customFormat="1" ht="12.75">
      <c r="A46" s="31"/>
      <c r="B46" s="25" t="s">
        <v>117</v>
      </c>
      <c r="C46" s="149"/>
      <c r="D46" s="157">
        <v>27.3</v>
      </c>
      <c r="E46" s="192">
        <v>29.8</v>
      </c>
      <c r="F46" s="157">
        <v>31.7</v>
      </c>
      <c r="G46" s="202">
        <v>5.6</v>
      </c>
      <c r="H46" s="12">
        <v>31.7</v>
      </c>
      <c r="I46" s="12">
        <v>35</v>
      </c>
      <c r="J46" s="12">
        <f aca="true" t="shared" si="14" ref="J46:P46">+I46</f>
        <v>35</v>
      </c>
      <c r="K46" s="12">
        <f t="shared" si="14"/>
        <v>35</v>
      </c>
      <c r="L46" s="12">
        <f t="shared" si="14"/>
        <v>35</v>
      </c>
      <c r="M46" s="12">
        <f t="shared" si="14"/>
        <v>35</v>
      </c>
      <c r="N46" s="12">
        <f t="shared" si="14"/>
        <v>35</v>
      </c>
      <c r="O46" s="12">
        <f t="shared" si="14"/>
        <v>35</v>
      </c>
      <c r="P46" s="12">
        <f t="shared" si="14"/>
        <v>35</v>
      </c>
      <c r="Q46" s="12">
        <f>+P46*4</f>
        <v>140</v>
      </c>
      <c r="R46" s="12">
        <f>+Q46</f>
        <v>140</v>
      </c>
      <c r="S46" s="12">
        <f>+R46</f>
        <v>140</v>
      </c>
      <c r="T46" s="12">
        <f>+S46</f>
        <v>140</v>
      </c>
      <c r="U46" s="12">
        <f>+T46</f>
        <v>140</v>
      </c>
      <c r="V46" s="12">
        <f>+U46</f>
        <v>140</v>
      </c>
      <c r="X46" s="9"/>
      <c r="Y46" s="11"/>
    </row>
    <row r="47" spans="1:25" s="2" customFormat="1" ht="12.75">
      <c r="A47" s="31"/>
      <c r="C47" s="149"/>
      <c r="D47" s="157"/>
      <c r="E47" s="157"/>
      <c r="F47" s="157"/>
      <c r="G47" s="20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X47" s="9"/>
      <c r="Y47" s="11"/>
    </row>
    <row r="48" spans="1:25" s="2" customFormat="1" ht="12.75">
      <c r="A48" s="31"/>
      <c r="B48" s="25" t="s">
        <v>71</v>
      </c>
      <c r="C48" s="149"/>
      <c r="D48" s="157">
        <v>14.7</v>
      </c>
      <c r="E48" s="157">
        <v>8.2</v>
      </c>
      <c r="F48" s="157">
        <f>16.9-E48</f>
        <v>8.7</v>
      </c>
      <c r="G48" s="202">
        <f>-SUM(E48:F48)+24.8</f>
        <v>7.900000000000002</v>
      </c>
      <c r="H48" s="12">
        <f aca="true" t="shared" si="15" ref="H48:P48">+G48</f>
        <v>7.900000000000002</v>
      </c>
      <c r="I48" s="12">
        <f t="shared" si="15"/>
        <v>7.900000000000002</v>
      </c>
      <c r="J48" s="12">
        <f t="shared" si="15"/>
        <v>7.900000000000002</v>
      </c>
      <c r="K48" s="12">
        <f t="shared" si="15"/>
        <v>7.900000000000002</v>
      </c>
      <c r="L48" s="12">
        <f t="shared" si="15"/>
        <v>7.900000000000002</v>
      </c>
      <c r="M48" s="12">
        <f t="shared" si="15"/>
        <v>7.900000000000002</v>
      </c>
      <c r="N48" s="12">
        <f t="shared" si="15"/>
        <v>7.900000000000002</v>
      </c>
      <c r="O48" s="12">
        <f t="shared" si="15"/>
        <v>7.900000000000002</v>
      </c>
      <c r="P48" s="12">
        <f t="shared" si="15"/>
        <v>7.900000000000002</v>
      </c>
      <c r="Q48" s="12">
        <f>+P48*4</f>
        <v>31.60000000000001</v>
      </c>
      <c r="R48" s="12">
        <f>+Q48</f>
        <v>31.60000000000001</v>
      </c>
      <c r="S48" s="12">
        <f>+R48</f>
        <v>31.60000000000001</v>
      </c>
      <c r="T48" s="12">
        <f>+S48</f>
        <v>31.60000000000001</v>
      </c>
      <c r="U48" s="12">
        <f>+T48</f>
        <v>31.60000000000001</v>
      </c>
      <c r="V48" s="12">
        <f>+U48</f>
        <v>31.60000000000001</v>
      </c>
      <c r="X48" s="9"/>
      <c r="Y48" s="11"/>
    </row>
    <row r="49" spans="1:25" s="2" customFormat="1" ht="12.75">
      <c r="A49" s="31" t="s">
        <v>119</v>
      </c>
      <c r="B49" s="25" t="s">
        <v>116</v>
      </c>
      <c r="C49" s="149"/>
      <c r="D49" s="157">
        <v>0</v>
      </c>
      <c r="E49" s="157">
        <v>13.036</v>
      </c>
      <c r="F49" s="157">
        <v>0</v>
      </c>
      <c r="G49" s="202">
        <v>3.6</v>
      </c>
      <c r="H49" s="12">
        <v>0</v>
      </c>
      <c r="I49" s="27">
        <v>13</v>
      </c>
      <c r="J49" s="12">
        <v>0</v>
      </c>
      <c r="K49" s="12">
        <v>0</v>
      </c>
      <c r="L49" s="12">
        <v>0</v>
      </c>
      <c r="M49" s="27">
        <v>13</v>
      </c>
      <c r="N49" s="12">
        <v>0</v>
      </c>
      <c r="O49" s="12">
        <v>0</v>
      </c>
      <c r="P49" s="12">
        <v>0</v>
      </c>
      <c r="Q49" s="27">
        <v>13</v>
      </c>
      <c r="R49" s="27">
        <v>13</v>
      </c>
      <c r="S49" s="12">
        <v>0</v>
      </c>
      <c r="T49" s="12">
        <v>0</v>
      </c>
      <c r="U49" s="12">
        <v>0</v>
      </c>
      <c r="V49" s="12">
        <v>0</v>
      </c>
      <c r="X49" s="9"/>
      <c r="Y49" s="11"/>
    </row>
    <row r="50" spans="1:25" s="2" customFormat="1" ht="12.75">
      <c r="A50" s="31" t="s">
        <v>119</v>
      </c>
      <c r="B50" s="25" t="s">
        <v>118</v>
      </c>
      <c r="C50" s="149"/>
      <c r="D50" s="157"/>
      <c r="E50" s="157">
        <f>42.736+(315.3-310.1)</f>
        <v>47.935999999999986</v>
      </c>
      <c r="F50" s="157">
        <f>30.4-E50-0.7</f>
        <v>-18.235999999999986</v>
      </c>
      <c r="G50" s="202">
        <f>-SUM(E50:F50)+43.577</f>
        <v>13.876999999999999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X50" s="9"/>
      <c r="Y50" s="11"/>
    </row>
    <row r="51" spans="1:25" s="2" customFormat="1" ht="12.75">
      <c r="A51" s="31"/>
      <c r="B51" s="25"/>
      <c r="C51" s="149"/>
      <c r="D51" s="157"/>
      <c r="E51" s="157"/>
      <c r="F51" s="157"/>
      <c r="G51" s="20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X51" s="9"/>
      <c r="Y51" s="11"/>
    </row>
    <row r="52" spans="1:25" s="2" customFormat="1" ht="12.75">
      <c r="A52" s="31"/>
      <c r="B52" s="25" t="s">
        <v>132</v>
      </c>
      <c r="C52" s="149"/>
      <c r="D52" s="157"/>
      <c r="E52" s="157"/>
      <c r="F52" s="157"/>
      <c r="G52" s="202">
        <v>26.8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X52" s="9"/>
      <c r="Y52" s="11"/>
    </row>
    <row r="53" spans="1:25" s="2" customFormat="1" ht="12.75">
      <c r="A53" s="31"/>
      <c r="B53" s="25" t="s">
        <v>131</v>
      </c>
      <c r="C53" s="149"/>
      <c r="D53" s="157"/>
      <c r="E53" s="157"/>
      <c r="F53" s="157"/>
      <c r="G53" s="202">
        <v>16.305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X53" s="9"/>
      <c r="Y53" s="11"/>
    </row>
    <row r="54" spans="1:25" s="2" customFormat="1" ht="12.75">
      <c r="A54" s="31"/>
      <c r="B54" s="25" t="s">
        <v>102</v>
      </c>
      <c r="C54" s="149"/>
      <c r="D54" s="157">
        <v>2.9</v>
      </c>
      <c r="E54" s="157">
        <v>0</v>
      </c>
      <c r="F54" s="157"/>
      <c r="G54" s="20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X54" s="9"/>
      <c r="Y54" s="11"/>
    </row>
    <row r="55" spans="1:25" s="2" customFormat="1" ht="12.75">
      <c r="A55" s="31"/>
      <c r="B55" s="2" t="s">
        <v>103</v>
      </c>
      <c r="C55" s="149"/>
      <c r="D55" s="157">
        <v>0.5</v>
      </c>
      <c r="E55" s="157"/>
      <c r="F55" s="157"/>
      <c r="G55" s="202">
        <v>-1.6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X55" s="9"/>
      <c r="Y55" s="11"/>
    </row>
    <row r="56" spans="1:25" s="2" customFormat="1" ht="12.75">
      <c r="A56" s="31"/>
      <c r="B56" s="25" t="s">
        <v>19</v>
      </c>
      <c r="C56" s="150" t="s">
        <v>107</v>
      </c>
      <c r="D56" s="157">
        <v>10</v>
      </c>
      <c r="E56" s="157">
        <v>0</v>
      </c>
      <c r="F56" s="157">
        <v>0</v>
      </c>
      <c r="G56" s="202">
        <f aca="true" t="shared" si="16" ref="G56:P56">+F56</f>
        <v>0</v>
      </c>
      <c r="H56" s="12">
        <f t="shared" si="16"/>
        <v>0</v>
      </c>
      <c r="I56" s="12">
        <f t="shared" si="16"/>
        <v>0</v>
      </c>
      <c r="J56" s="12">
        <f t="shared" si="16"/>
        <v>0</v>
      </c>
      <c r="K56" s="12">
        <f t="shared" si="16"/>
        <v>0</v>
      </c>
      <c r="L56" s="12">
        <f t="shared" si="16"/>
        <v>0</v>
      </c>
      <c r="M56" s="12">
        <f t="shared" si="16"/>
        <v>0</v>
      </c>
      <c r="N56" s="12">
        <f t="shared" si="16"/>
        <v>0</v>
      </c>
      <c r="O56" s="12">
        <f t="shared" si="16"/>
        <v>0</v>
      </c>
      <c r="P56" s="12">
        <f t="shared" si="16"/>
        <v>0</v>
      </c>
      <c r="Q56" s="12">
        <f>+P56*4</f>
        <v>0</v>
      </c>
      <c r="R56" s="12">
        <f>+Q56</f>
        <v>0</v>
      </c>
      <c r="S56" s="12">
        <f>+R56</f>
        <v>0</v>
      </c>
      <c r="T56" s="12">
        <f>+S56</f>
        <v>0</v>
      </c>
      <c r="U56" s="12">
        <f>+T56</f>
        <v>0</v>
      </c>
      <c r="V56" s="12">
        <f>+U56</f>
        <v>0</v>
      </c>
      <c r="X56" s="9"/>
      <c r="Y56" s="11"/>
    </row>
    <row r="57" spans="1:25" s="2" customFormat="1" ht="12.75">
      <c r="A57" s="31"/>
      <c r="C57" s="150"/>
      <c r="D57" s="13"/>
      <c r="E57" s="13"/>
      <c r="F57" s="13"/>
      <c r="G57" s="21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X57" s="9"/>
      <c r="Y57" s="11"/>
    </row>
    <row r="58" spans="1:25" s="26" customFormat="1" ht="12.75">
      <c r="A58" s="32" t="s">
        <v>40</v>
      </c>
      <c r="B58" s="25" t="s">
        <v>21</v>
      </c>
      <c r="C58" s="151"/>
      <c r="D58" s="38">
        <f>SUM(D28:D57)</f>
        <v>90.9595</v>
      </c>
      <c r="E58" s="38">
        <f>SUM(E28:E57)</f>
        <v>133.8055</v>
      </c>
      <c r="F58" s="38">
        <f aca="true" t="shared" si="17" ref="F58:R58">SUM(F28:F57)</f>
        <v>54.71000000000002</v>
      </c>
      <c r="G58" s="207">
        <f t="shared" si="17"/>
        <v>107.41050000000001</v>
      </c>
      <c r="H58" s="27">
        <f t="shared" si="17"/>
        <v>68.771</v>
      </c>
      <c r="I58" s="27">
        <f t="shared" si="17"/>
        <v>83.46900000000001</v>
      </c>
      <c r="J58" s="27">
        <f t="shared" si="17"/>
        <v>68.23450000000001</v>
      </c>
      <c r="K58" s="27">
        <f t="shared" si="17"/>
        <v>66.122</v>
      </c>
      <c r="L58" s="27">
        <f t="shared" si="17"/>
        <v>64.147</v>
      </c>
      <c r="M58" s="27">
        <f t="shared" si="17"/>
        <v>75.756375</v>
      </c>
      <c r="N58" s="27">
        <f t="shared" si="17"/>
        <v>59.11625000000001</v>
      </c>
      <c r="O58" s="27">
        <f t="shared" si="17"/>
        <v>59.11625000000001</v>
      </c>
      <c r="P58" s="27">
        <f t="shared" si="17"/>
        <v>59.11625000000001</v>
      </c>
      <c r="Q58" s="27">
        <f t="shared" si="17"/>
        <v>234.291</v>
      </c>
      <c r="R58" s="27">
        <f t="shared" si="17"/>
        <v>218.791</v>
      </c>
      <c r="S58" s="27">
        <f>SUM(S28:S57)</f>
        <v>202.99099999999999</v>
      </c>
      <c r="T58" s="27">
        <f>SUM(T28:T57)</f>
        <v>202.99099999999999</v>
      </c>
      <c r="U58" s="27">
        <f>SUM(U28:U57)</f>
        <v>202.28315000000003</v>
      </c>
      <c r="V58" s="27">
        <f>SUM(V28:V57)</f>
        <v>178.47500000000002</v>
      </c>
      <c r="X58" s="28"/>
      <c r="Y58" s="29"/>
    </row>
    <row r="59" spans="1:25" s="26" customFormat="1" ht="12.75">
      <c r="A59" s="32"/>
      <c r="B59" s="25"/>
      <c r="C59" s="151"/>
      <c r="D59" s="38"/>
      <c r="E59" s="38"/>
      <c r="F59" s="38"/>
      <c r="G59" s="20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X59" s="28"/>
      <c r="Y59" s="29"/>
    </row>
    <row r="60" spans="1:25" s="26" customFormat="1" ht="12.75">
      <c r="A60" s="32"/>
      <c r="B60" s="3" t="s">
        <v>35</v>
      </c>
      <c r="C60" s="145"/>
      <c r="D60" s="157">
        <v>52</v>
      </c>
      <c r="E60" s="38"/>
      <c r="F60" s="38"/>
      <c r="G60" s="20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X60" s="28"/>
      <c r="Y60" s="29"/>
    </row>
    <row r="61" spans="1:25" s="2" customFormat="1" ht="12.75">
      <c r="A61" s="31"/>
      <c r="B61" s="3" t="s">
        <v>54</v>
      </c>
      <c r="C61" s="145"/>
      <c r="D61" s="157">
        <v>72</v>
      </c>
      <c r="E61" s="157"/>
      <c r="F61" s="13"/>
      <c r="G61" s="21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X61" s="9"/>
      <c r="Y61" s="11"/>
    </row>
    <row r="62" spans="1:25" s="26" customFormat="1" ht="13.5" thickBot="1">
      <c r="A62" s="32" t="s">
        <v>41</v>
      </c>
      <c r="B62" s="25" t="s">
        <v>43</v>
      </c>
      <c r="C62" s="152" t="s">
        <v>44</v>
      </c>
      <c r="D62" s="33">
        <f>+D23-D58+D61+D60</f>
        <v>180.15050000000002</v>
      </c>
      <c r="E62" s="142">
        <f aca="true" t="shared" si="18" ref="E62:V62">+E23-E58</f>
        <v>12.194500000000005</v>
      </c>
      <c r="F62" s="142">
        <f t="shared" si="18"/>
        <v>90.48999999999997</v>
      </c>
      <c r="G62" s="243">
        <f t="shared" si="18"/>
        <v>30.389499999999998</v>
      </c>
      <c r="H62" s="142">
        <f t="shared" si="18"/>
        <v>59.560368</v>
      </c>
      <c r="I62" s="246">
        <f t="shared" si="18"/>
        <v>41.718049807999975</v>
      </c>
      <c r="J62" s="246">
        <f t="shared" si="18"/>
        <v>53.23531701759198</v>
      </c>
      <c r="K62" s="246">
        <f t="shared" si="18"/>
        <v>51.8854830168291</v>
      </c>
      <c r="L62" s="246">
        <f t="shared" si="18"/>
        <v>51.3431472618292</v>
      </c>
      <c r="M62" s="33">
        <f t="shared" si="18"/>
        <v>37.38738663374846</v>
      </c>
      <c r="N62" s="33">
        <f t="shared" si="18"/>
        <v>51.84590854246068</v>
      </c>
      <c r="O62" s="33">
        <f t="shared" si="18"/>
        <v>49.823222241652985</v>
      </c>
      <c r="P62" s="33">
        <f t="shared" si="18"/>
        <v>47.953876233269696</v>
      </c>
      <c r="Q62" s="142">
        <f t="shared" si="18"/>
        <v>193.98950493307882</v>
      </c>
      <c r="R62" s="142">
        <f t="shared" si="18"/>
        <v>199.19835663817076</v>
      </c>
      <c r="S62" s="142">
        <f t="shared" si="18"/>
        <v>224.90239310919685</v>
      </c>
      <c r="T62" s="142">
        <f t="shared" si="18"/>
        <v>251.07445781779268</v>
      </c>
      <c r="U62" s="142">
        <f t="shared" si="18"/>
        <v>292.80861620679065</v>
      </c>
      <c r="V62" s="142">
        <f t="shared" si="18"/>
        <v>363.7970208541384</v>
      </c>
      <c r="X62" s="28"/>
      <c r="Y62" s="29"/>
    </row>
    <row r="63" spans="1:25" s="26" customFormat="1" ht="13.5" thickTop="1">
      <c r="A63" s="32"/>
      <c r="B63" s="25"/>
      <c r="C63" s="152"/>
      <c r="D63" s="38"/>
      <c r="E63" s="38"/>
      <c r="F63" s="38"/>
      <c r="G63" s="20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X63" s="28"/>
      <c r="Y63" s="29"/>
    </row>
    <row r="64" spans="1:25" s="26" customFormat="1" ht="12.75">
      <c r="A64" s="32"/>
      <c r="B64" s="25"/>
      <c r="C64" s="152"/>
      <c r="D64" s="38"/>
      <c r="E64" s="38"/>
      <c r="F64" s="38"/>
      <c r="G64" s="20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X64" s="28"/>
      <c r="Y64" s="29"/>
    </row>
    <row r="65" spans="1:25" s="26" customFormat="1" ht="12.75">
      <c r="A65" s="32"/>
      <c r="B65" s="25"/>
      <c r="C65" s="152"/>
      <c r="D65" s="38"/>
      <c r="E65" s="38"/>
      <c r="F65" s="38"/>
      <c r="G65" s="20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X65" s="28"/>
      <c r="Y65" s="29"/>
    </row>
    <row r="66" spans="1:25" s="26" customFormat="1" ht="12.75">
      <c r="A66" s="32"/>
      <c r="B66" s="25"/>
      <c r="C66" s="152"/>
      <c r="D66" s="38"/>
      <c r="E66" s="38"/>
      <c r="F66" s="38"/>
      <c r="G66" s="20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X66" s="28"/>
      <c r="Y66" s="29"/>
    </row>
    <row r="67" spans="1:25" s="2" customFormat="1" ht="12.75">
      <c r="A67" s="31"/>
      <c r="B67" s="3"/>
      <c r="C67" s="145"/>
      <c r="D67" s="157"/>
      <c r="E67" s="157"/>
      <c r="F67" s="157"/>
      <c r="G67" s="20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X67" s="39" t="s">
        <v>55</v>
      </c>
      <c r="Y67" s="40" t="s">
        <v>49</v>
      </c>
    </row>
    <row r="68" spans="2:25" ht="12.75">
      <c r="B68" s="54" t="s">
        <v>22</v>
      </c>
      <c r="C68" s="4"/>
      <c r="D68" s="158"/>
      <c r="E68" s="193"/>
      <c r="F68" s="193"/>
      <c r="G68" s="21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X68" s="41" t="s">
        <v>22</v>
      </c>
      <c r="Y68" s="42" t="s">
        <v>48</v>
      </c>
    </row>
    <row r="69" spans="1:25" ht="12.75">
      <c r="A69" s="17" t="s">
        <v>42</v>
      </c>
      <c r="B69" s="1" t="s">
        <v>87</v>
      </c>
      <c r="C69" s="153">
        <v>250</v>
      </c>
      <c r="D69" s="158">
        <v>45</v>
      </c>
      <c r="E69" s="193">
        <v>25</v>
      </c>
      <c r="F69" s="193">
        <v>25</v>
      </c>
      <c r="G69" s="212">
        <v>25</v>
      </c>
      <c r="H69" s="14">
        <v>25</v>
      </c>
      <c r="I69" s="14">
        <f>250-(+D69+E69+F69+G69+H69)</f>
        <v>105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X69" s="10">
        <f>+C69-D69-E69</f>
        <v>180</v>
      </c>
      <c r="Y69" s="5">
        <f>+X69*0.044</f>
        <v>7.92</v>
      </c>
    </row>
    <row r="70" spans="1:25" ht="12.75">
      <c r="A70" s="17" t="s">
        <v>42</v>
      </c>
      <c r="B70" s="1" t="s">
        <v>88</v>
      </c>
      <c r="C70" s="153">
        <v>16</v>
      </c>
      <c r="D70" s="158">
        <v>16</v>
      </c>
      <c r="E70" s="194">
        <v>-239</v>
      </c>
      <c r="F70" s="193"/>
      <c r="G70" s="212"/>
      <c r="H70" s="14"/>
      <c r="I70" s="36">
        <v>239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X70" s="10">
        <v>239</v>
      </c>
      <c r="Y70" s="5">
        <f>+X70*0.044</f>
        <v>10.516</v>
      </c>
    </row>
    <row r="71" spans="1:24" ht="12.75">
      <c r="A71" s="17" t="s">
        <v>42</v>
      </c>
      <c r="B71" s="1" t="s">
        <v>25</v>
      </c>
      <c r="C71" s="153">
        <v>35</v>
      </c>
      <c r="D71" s="158">
        <v>35</v>
      </c>
      <c r="E71" s="193"/>
      <c r="F71" s="193"/>
      <c r="G71" s="21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X71" s="10">
        <f>+C71-D71</f>
        <v>0</v>
      </c>
    </row>
    <row r="72" spans="1:22" ht="12.75">
      <c r="A72" s="17"/>
      <c r="B72" s="1" t="s">
        <v>114</v>
      </c>
      <c r="C72" s="153"/>
      <c r="D72" s="158"/>
      <c r="E72" s="193">
        <v>0.3</v>
      </c>
      <c r="F72" s="193"/>
      <c r="G72" s="21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5" ht="12.75">
      <c r="A73" s="17" t="s">
        <v>42</v>
      </c>
      <c r="B73" s="102" t="s">
        <v>34</v>
      </c>
      <c r="C73" s="154">
        <f>+X73</f>
        <v>184</v>
      </c>
      <c r="D73" s="158"/>
      <c r="E73" s="193"/>
      <c r="F73" s="193"/>
      <c r="G73" s="21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>
        <v>184</v>
      </c>
      <c r="T73" s="14"/>
      <c r="U73" s="14"/>
      <c r="V73" s="14"/>
      <c r="X73" s="10">
        <f aca="true" t="shared" si="19" ref="X73:X82">SUM(D73:W73)</f>
        <v>184</v>
      </c>
      <c r="Y73" s="5">
        <f>+X73*0.0625</f>
        <v>11.5</v>
      </c>
    </row>
    <row r="74" spans="1:22" ht="12.75">
      <c r="A74" s="17" t="s">
        <v>42</v>
      </c>
      <c r="B74" s="19" t="s">
        <v>14</v>
      </c>
      <c r="C74" s="153"/>
      <c r="D74" s="158"/>
      <c r="E74" s="193"/>
      <c r="F74" s="193"/>
      <c r="G74" s="21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5" ht="12.75">
      <c r="A75" s="17" t="s">
        <v>42</v>
      </c>
      <c r="B75" s="7" t="s">
        <v>27</v>
      </c>
      <c r="C75" s="154">
        <v>130</v>
      </c>
      <c r="D75" s="158"/>
      <c r="E75" s="193"/>
      <c r="F75" s="193"/>
      <c r="G75" s="212"/>
      <c r="H75" s="14"/>
      <c r="I75" s="14"/>
      <c r="J75" s="14"/>
      <c r="K75" s="14">
        <v>130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X75" s="10">
        <f t="shared" si="19"/>
        <v>130</v>
      </c>
      <c r="Y75" s="5">
        <f>+X75*0.065</f>
        <v>8.450000000000001</v>
      </c>
    </row>
    <row r="76" spans="1:25" ht="12.75">
      <c r="A76" s="17" t="s">
        <v>42</v>
      </c>
      <c r="B76" s="1" t="s">
        <v>26</v>
      </c>
      <c r="C76" s="154">
        <v>125</v>
      </c>
      <c r="D76" s="158"/>
      <c r="E76" s="193"/>
      <c r="F76" s="193"/>
      <c r="G76" s="212"/>
      <c r="H76" s="14"/>
      <c r="I76" s="14"/>
      <c r="J76" s="14"/>
      <c r="K76" s="14"/>
      <c r="L76" s="14">
        <v>125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X76" s="10">
        <f t="shared" si="19"/>
        <v>125</v>
      </c>
      <c r="Y76" s="5">
        <f>+X76*0.0685</f>
        <v>8.5625</v>
      </c>
    </row>
    <row r="77" spans="1:25" ht="12.75">
      <c r="A77" s="17" t="s">
        <v>42</v>
      </c>
      <c r="B77" s="1" t="s">
        <v>28</v>
      </c>
      <c r="C77" s="154">
        <v>255</v>
      </c>
      <c r="D77" s="158"/>
      <c r="E77" s="193"/>
      <c r="F77" s="193"/>
      <c r="G77" s="212"/>
      <c r="H77" s="14"/>
      <c r="I77" s="14"/>
      <c r="J77" s="14"/>
      <c r="K77" s="14"/>
      <c r="L77" s="14"/>
      <c r="M77" s="14"/>
      <c r="N77" s="14">
        <v>255</v>
      </c>
      <c r="O77" s="14"/>
      <c r="P77" s="14"/>
      <c r="Q77" s="14"/>
      <c r="R77" s="14"/>
      <c r="S77" s="14"/>
      <c r="T77" s="14"/>
      <c r="U77" s="14"/>
      <c r="V77" s="14"/>
      <c r="X77" s="10">
        <f t="shared" si="19"/>
        <v>255</v>
      </c>
      <c r="Y77" s="5">
        <f>+X77*0.0571</f>
        <v>14.5605</v>
      </c>
    </row>
    <row r="78" spans="1:25" ht="12.75">
      <c r="A78" s="17" t="s">
        <v>42</v>
      </c>
      <c r="B78" s="1" t="s">
        <v>29</v>
      </c>
      <c r="C78" s="154">
        <v>138</v>
      </c>
      <c r="D78" s="158"/>
      <c r="E78" s="193"/>
      <c r="F78" s="193"/>
      <c r="G78" s="212"/>
      <c r="H78" s="14"/>
      <c r="I78" s="14"/>
      <c r="J78" s="14"/>
      <c r="K78" s="14"/>
      <c r="L78" s="14"/>
      <c r="M78" s="14"/>
      <c r="N78" s="14"/>
      <c r="O78" s="14"/>
      <c r="P78" s="14"/>
      <c r="Q78" s="14">
        <v>138</v>
      </c>
      <c r="R78" s="14"/>
      <c r="S78" s="14"/>
      <c r="T78" s="14"/>
      <c r="U78" s="14"/>
      <c r="V78" s="14"/>
      <c r="X78" s="10">
        <f t="shared" si="19"/>
        <v>138</v>
      </c>
      <c r="Y78" s="5">
        <f>+X78*0.073</f>
        <v>10.074</v>
      </c>
    </row>
    <row r="79" spans="1:25" ht="12.75">
      <c r="A79" s="17" t="s">
        <v>42</v>
      </c>
      <c r="B79" s="1" t="s">
        <v>30</v>
      </c>
      <c r="C79" s="154">
        <v>320</v>
      </c>
      <c r="D79" s="158"/>
      <c r="E79" s="193"/>
      <c r="F79" s="193"/>
      <c r="G79" s="21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>
        <v>320</v>
      </c>
      <c r="S79" s="14"/>
      <c r="T79" s="14"/>
      <c r="U79" s="14"/>
      <c r="V79" s="14"/>
      <c r="X79" s="10">
        <f t="shared" si="19"/>
        <v>320</v>
      </c>
      <c r="Y79" s="5">
        <f>+X79*0.0525</f>
        <v>16.8</v>
      </c>
    </row>
    <row r="80" spans="1:25" ht="12.75">
      <c r="A80" s="17" t="s">
        <v>42</v>
      </c>
      <c r="B80" s="1" t="s">
        <v>31</v>
      </c>
      <c r="C80" s="154">
        <v>121</v>
      </c>
      <c r="D80" s="158"/>
      <c r="E80" s="193"/>
      <c r="F80" s="193"/>
      <c r="G80" s="21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>
        <v>121</v>
      </c>
      <c r="V80" s="14"/>
      <c r="X80" s="10">
        <f t="shared" si="19"/>
        <v>121</v>
      </c>
      <c r="Y80" s="5">
        <f>+X80*0.0585</f>
        <v>7.0785</v>
      </c>
    </row>
    <row r="81" spans="1:25" ht="12.75">
      <c r="A81" s="17" t="s">
        <v>42</v>
      </c>
      <c r="B81" s="1" t="s">
        <v>32</v>
      </c>
      <c r="C81" s="154">
        <v>300</v>
      </c>
      <c r="D81" s="158"/>
      <c r="E81" s="193"/>
      <c r="F81" s="193"/>
      <c r="G81" s="21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>
        <v>300</v>
      </c>
      <c r="X81" s="10">
        <f t="shared" si="19"/>
        <v>300</v>
      </c>
      <c r="Y81" s="5">
        <f>+X81*0.0775</f>
        <v>23.25</v>
      </c>
    </row>
    <row r="82" spans="1:25" ht="12.75">
      <c r="A82" s="17" t="s">
        <v>42</v>
      </c>
      <c r="B82" s="1" t="s">
        <v>33</v>
      </c>
      <c r="C82" s="154">
        <v>17</v>
      </c>
      <c r="D82" s="158"/>
      <c r="E82" s="193"/>
      <c r="F82" s="193"/>
      <c r="G82" s="21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>
        <v>17</v>
      </c>
      <c r="X82" s="10">
        <f t="shared" si="19"/>
        <v>17</v>
      </c>
      <c r="Y82" s="5">
        <f>+X82*0.0625</f>
        <v>1.0625</v>
      </c>
    </row>
    <row r="83" spans="2:22" ht="12.75">
      <c r="B83" s="19" t="s">
        <v>69</v>
      </c>
      <c r="C83" s="35">
        <f>SUM(C69:C82)</f>
        <v>1891</v>
      </c>
      <c r="D83" s="158"/>
      <c r="E83" s="193"/>
      <c r="F83" s="193"/>
      <c r="G83" s="21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5" s="16" customFormat="1" ht="13.5" thickBot="1">
      <c r="A84" s="17" t="s">
        <v>45</v>
      </c>
      <c r="B84" s="16" t="s">
        <v>53</v>
      </c>
      <c r="C84" s="155" t="s">
        <v>51</v>
      </c>
      <c r="D84" s="118">
        <f aca="true" t="shared" si="20" ref="D84:R84">-SUM(D67:D83)+D62</f>
        <v>84.15050000000002</v>
      </c>
      <c r="E84" s="244">
        <f t="shared" si="20"/>
        <v>225.8945</v>
      </c>
      <c r="F84" s="244">
        <f t="shared" si="20"/>
        <v>65.48999999999997</v>
      </c>
      <c r="G84" s="245">
        <f t="shared" si="20"/>
        <v>5.389499999999998</v>
      </c>
      <c r="H84" s="244">
        <f t="shared" si="20"/>
        <v>34.560368</v>
      </c>
      <c r="I84" s="248">
        <f t="shared" si="20"/>
        <v>-302.281950192</v>
      </c>
      <c r="J84" s="248">
        <f t="shared" si="20"/>
        <v>53.23531701759198</v>
      </c>
      <c r="K84" s="248">
        <f t="shared" si="20"/>
        <v>-78.1145169831709</v>
      </c>
      <c r="L84" s="248">
        <f t="shared" si="20"/>
        <v>-73.6568527381708</v>
      </c>
      <c r="M84" s="118">
        <f t="shared" si="20"/>
        <v>37.38738663374846</v>
      </c>
      <c r="N84" s="118">
        <f t="shared" si="20"/>
        <v>-203.15409145753932</v>
      </c>
      <c r="O84" s="118">
        <f t="shared" si="20"/>
        <v>49.823222241652985</v>
      </c>
      <c r="P84" s="118">
        <f t="shared" si="20"/>
        <v>47.953876233269696</v>
      </c>
      <c r="Q84" s="118">
        <f t="shared" si="20"/>
        <v>55.98950493307882</v>
      </c>
      <c r="R84" s="118">
        <f t="shared" si="20"/>
        <v>-120.80164336182924</v>
      </c>
      <c r="S84" s="118">
        <f>-SUM(S67:S83)+S62</f>
        <v>40.90239310919685</v>
      </c>
      <c r="T84" s="118">
        <f>-SUM(T67:T83)+T62</f>
        <v>251.07445781779268</v>
      </c>
      <c r="U84" s="118">
        <f>-SUM(U67:U83)+U62</f>
        <v>171.80861620679065</v>
      </c>
      <c r="V84" s="118">
        <f>-SUM(V67:V83)+V62</f>
        <v>46.797020854138395</v>
      </c>
      <c r="W84" s="35"/>
      <c r="X84" s="57">
        <f>SUM(X67:X83)</f>
        <v>2009</v>
      </c>
      <c r="Y84" s="57">
        <f>SUM(Y67:Y83)</f>
        <v>119.774</v>
      </c>
    </row>
    <row r="85" spans="3:23" ht="14.25" thickBot="1" thickTop="1">
      <c r="C85" s="4"/>
      <c r="D85" s="158"/>
      <c r="E85" s="193"/>
      <c r="F85" s="193"/>
      <c r="G85" s="21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4"/>
    </row>
    <row r="86" spans="1:25" s="176" customFormat="1" ht="13.5" thickBot="1">
      <c r="A86" s="32" t="s">
        <v>52</v>
      </c>
      <c r="B86" s="176" t="s">
        <v>23</v>
      </c>
      <c r="C86" s="216"/>
      <c r="D86" s="215">
        <f>+D84</f>
        <v>84.15050000000002</v>
      </c>
      <c r="E86" s="215">
        <f>+D86+E84</f>
        <v>310.045</v>
      </c>
      <c r="F86" s="215">
        <f aca="true" t="shared" si="21" ref="F86:R86">+E86+F84</f>
        <v>375.53499999999997</v>
      </c>
      <c r="G86" s="257">
        <f t="shared" si="21"/>
        <v>380.92449999999997</v>
      </c>
      <c r="H86" s="217">
        <f t="shared" si="21"/>
        <v>415.48486799999995</v>
      </c>
      <c r="I86" s="217">
        <f t="shared" si="21"/>
        <v>113.20291780799994</v>
      </c>
      <c r="J86" s="217">
        <f t="shared" si="21"/>
        <v>166.4382348255919</v>
      </c>
      <c r="K86" s="217">
        <f t="shared" si="21"/>
        <v>88.323717842421</v>
      </c>
      <c r="L86" s="247">
        <f t="shared" si="21"/>
        <v>14.666865104250206</v>
      </c>
      <c r="M86" s="217">
        <f t="shared" si="21"/>
        <v>52.05425173799867</v>
      </c>
      <c r="N86" s="247">
        <f t="shared" si="21"/>
        <v>-151.09983971954065</v>
      </c>
      <c r="O86" s="217">
        <f t="shared" si="21"/>
        <v>-101.27661747788767</v>
      </c>
      <c r="P86" s="217">
        <f t="shared" si="21"/>
        <v>-53.32274124461797</v>
      </c>
      <c r="Q86" s="217">
        <f t="shared" si="21"/>
        <v>2.666763688460847</v>
      </c>
      <c r="R86" s="247">
        <f t="shared" si="21"/>
        <v>-118.13487967336839</v>
      </c>
      <c r="S86" s="215">
        <f>+R86+S84</f>
        <v>-77.23248656417154</v>
      </c>
      <c r="T86" s="215">
        <f>+S86+T84</f>
        <v>173.84197125362113</v>
      </c>
      <c r="U86" s="215">
        <f>+T86+U84</f>
        <v>345.65058746041177</v>
      </c>
      <c r="V86" s="215">
        <f>+U86+V84</f>
        <v>392.44760831455017</v>
      </c>
      <c r="W86" s="216"/>
      <c r="X86" s="218"/>
      <c r="Y86" s="219"/>
    </row>
    <row r="87" spans="1:25" s="176" customFormat="1" ht="12.75">
      <c r="A87" s="32"/>
      <c r="C87" s="216"/>
      <c r="D87" s="215"/>
      <c r="E87" s="215"/>
      <c r="F87" s="215"/>
      <c r="G87" s="217"/>
      <c r="H87" s="217"/>
      <c r="I87" s="217"/>
      <c r="J87" s="217"/>
      <c r="K87" s="217"/>
      <c r="L87" s="215"/>
      <c r="M87" s="217"/>
      <c r="N87" s="215"/>
      <c r="O87" s="217"/>
      <c r="P87" s="217"/>
      <c r="Q87" s="217"/>
      <c r="R87" s="215"/>
      <c r="S87" s="215"/>
      <c r="T87" s="215"/>
      <c r="U87" s="215"/>
      <c r="V87" s="215"/>
      <c r="W87" s="216"/>
      <c r="X87" s="218"/>
      <c r="Y87" s="219"/>
    </row>
    <row r="88" spans="1:25" s="220" customFormat="1" ht="15.75">
      <c r="A88" s="221"/>
      <c r="B88" s="223" t="s">
        <v>128</v>
      </c>
      <c r="C88" s="224"/>
      <c r="D88" s="224">
        <f>-SUM(D68:D82)</f>
        <v>-96</v>
      </c>
      <c r="E88" s="224">
        <f aca="true" t="shared" si="22" ref="E88:V88">-SUM(E68:E82)</f>
        <v>213.7</v>
      </c>
      <c r="F88" s="224">
        <f t="shared" si="22"/>
        <v>-25</v>
      </c>
      <c r="G88" s="224">
        <f t="shared" si="22"/>
        <v>-25</v>
      </c>
      <c r="H88" s="224">
        <f t="shared" si="22"/>
        <v>-25</v>
      </c>
      <c r="I88" s="224">
        <f t="shared" si="22"/>
        <v>-344</v>
      </c>
      <c r="J88" s="224">
        <f t="shared" si="22"/>
        <v>0</v>
      </c>
      <c r="K88" s="224">
        <f t="shared" si="22"/>
        <v>-130</v>
      </c>
      <c r="L88" s="224">
        <f t="shared" si="22"/>
        <v>-125</v>
      </c>
      <c r="M88" s="224">
        <f t="shared" si="22"/>
        <v>0</v>
      </c>
      <c r="N88" s="224">
        <f t="shared" si="22"/>
        <v>-255</v>
      </c>
      <c r="O88" s="224">
        <f t="shared" si="22"/>
        <v>0</v>
      </c>
      <c r="P88" s="224">
        <f t="shared" si="22"/>
        <v>0</v>
      </c>
      <c r="Q88" s="224">
        <f t="shared" si="22"/>
        <v>-138</v>
      </c>
      <c r="R88" s="224">
        <f t="shared" si="22"/>
        <v>-320</v>
      </c>
      <c r="S88" s="224">
        <f t="shared" si="22"/>
        <v>-184</v>
      </c>
      <c r="T88" s="224">
        <f t="shared" si="22"/>
        <v>0</v>
      </c>
      <c r="U88" s="224">
        <f t="shared" si="22"/>
        <v>-121</v>
      </c>
      <c r="V88" s="225">
        <f t="shared" si="22"/>
        <v>-317</v>
      </c>
      <c r="W88" s="222"/>
      <c r="X88" s="226"/>
      <c r="Y88" s="227"/>
    </row>
    <row r="89" spans="1:25" s="232" customFormat="1" ht="15.75">
      <c r="A89" s="228"/>
      <c r="B89" s="223" t="s">
        <v>127</v>
      </c>
      <c r="C89" s="224">
        <v>1891</v>
      </c>
      <c r="D89" s="224">
        <f>+C89+D88</f>
        <v>1795</v>
      </c>
      <c r="E89" s="224">
        <f aca="true" t="shared" si="23" ref="E89:V89">+D89+E88</f>
        <v>2008.7</v>
      </c>
      <c r="F89" s="224">
        <f t="shared" si="23"/>
        <v>1983.7</v>
      </c>
      <c r="G89" s="224">
        <f t="shared" si="23"/>
        <v>1958.7</v>
      </c>
      <c r="H89" s="224">
        <f t="shared" si="23"/>
        <v>1933.7</v>
      </c>
      <c r="I89" s="224">
        <f t="shared" si="23"/>
        <v>1589.7</v>
      </c>
      <c r="J89" s="224">
        <f t="shared" si="23"/>
        <v>1589.7</v>
      </c>
      <c r="K89" s="224">
        <f t="shared" si="23"/>
        <v>1459.7</v>
      </c>
      <c r="L89" s="224">
        <f t="shared" si="23"/>
        <v>1334.7</v>
      </c>
      <c r="M89" s="224">
        <f t="shared" si="23"/>
        <v>1334.7</v>
      </c>
      <c r="N89" s="224">
        <f t="shared" si="23"/>
        <v>1079.7</v>
      </c>
      <c r="O89" s="224">
        <f t="shared" si="23"/>
        <v>1079.7</v>
      </c>
      <c r="P89" s="224">
        <f t="shared" si="23"/>
        <v>1079.7</v>
      </c>
      <c r="Q89" s="224">
        <f t="shared" si="23"/>
        <v>941.7</v>
      </c>
      <c r="R89" s="224">
        <f t="shared" si="23"/>
        <v>621.7</v>
      </c>
      <c r="S89" s="224">
        <f t="shared" si="23"/>
        <v>437.70000000000005</v>
      </c>
      <c r="T89" s="224">
        <f t="shared" si="23"/>
        <v>437.70000000000005</v>
      </c>
      <c r="U89" s="224">
        <f t="shared" si="23"/>
        <v>316.70000000000005</v>
      </c>
      <c r="V89" s="225">
        <f t="shared" si="23"/>
        <v>-0.2999999999999545</v>
      </c>
      <c r="W89" s="229"/>
      <c r="X89" s="230"/>
      <c r="Y89" s="231"/>
    </row>
    <row r="90" spans="1:25" s="16" customFormat="1" ht="12.75">
      <c r="A90" s="17"/>
      <c r="B90" s="123" t="s">
        <v>104</v>
      </c>
      <c r="C90" s="124"/>
      <c r="D90" s="125"/>
      <c r="E90" s="125">
        <f>+((+G99+G100+G101)/4)</f>
        <v>5.547375000000001</v>
      </c>
      <c r="F90" s="125">
        <f>+E90+5.6</f>
        <v>11.147375</v>
      </c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6"/>
      <c r="W90" s="35"/>
      <c r="X90" s="37"/>
      <c r="Y90" s="18"/>
    </row>
    <row r="91" spans="1:25" s="16" customFormat="1" ht="12.75">
      <c r="A91" s="17"/>
      <c r="D91" s="105"/>
      <c r="E91" s="36"/>
      <c r="F91" s="36"/>
      <c r="G91" s="36"/>
      <c r="H91" s="36"/>
      <c r="I91" s="36"/>
      <c r="J91" s="36"/>
      <c r="K91" s="36"/>
      <c r="L91" s="105"/>
      <c r="M91" s="36"/>
      <c r="N91" s="105"/>
      <c r="O91" s="36"/>
      <c r="P91" s="36"/>
      <c r="Q91" s="36"/>
      <c r="R91" s="36"/>
      <c r="S91" s="36"/>
      <c r="T91" s="36"/>
      <c r="U91" s="36"/>
      <c r="V91" s="36"/>
      <c r="W91" s="35"/>
      <c r="X91" s="37"/>
      <c r="Y91" s="18"/>
    </row>
    <row r="92" ht="12.75">
      <c r="B92" s="55" t="s">
        <v>50</v>
      </c>
    </row>
    <row r="93" spans="2:21" ht="12.75">
      <c r="B93" s="55"/>
      <c r="U93" t="s">
        <v>95</v>
      </c>
    </row>
    <row r="94" spans="2:24" ht="12.75">
      <c r="B94" s="55"/>
      <c r="U94" t="s">
        <v>96</v>
      </c>
      <c r="W94" t="s">
        <v>124</v>
      </c>
      <c r="X94" s="10">
        <f>-310-X95</f>
        <v>-71</v>
      </c>
    </row>
    <row r="95" spans="2:24" ht="12.75">
      <c r="B95" s="55"/>
      <c r="D95" s="89"/>
      <c r="E95" s="90" t="s">
        <v>66</v>
      </c>
      <c r="F95" s="91"/>
      <c r="G95" s="92"/>
      <c r="W95" t="s">
        <v>98</v>
      </c>
      <c r="X95" s="10">
        <v>-239</v>
      </c>
    </row>
    <row r="96" spans="2:24" ht="12.75">
      <c r="B96" s="55"/>
      <c r="D96" s="62" t="s">
        <v>24</v>
      </c>
      <c r="E96" s="88" t="s">
        <v>94</v>
      </c>
      <c r="F96" s="63" t="s">
        <v>93</v>
      </c>
      <c r="G96" s="63" t="s">
        <v>19</v>
      </c>
      <c r="I96" s="236" t="s">
        <v>37</v>
      </c>
      <c r="J96" s="236" t="s">
        <v>129</v>
      </c>
      <c r="U96" t="s">
        <v>100</v>
      </c>
      <c r="X96" s="10">
        <v>-184</v>
      </c>
    </row>
    <row r="97" spans="2:24" ht="13.5" thickBot="1">
      <c r="B97" s="55"/>
      <c r="C97" s="6" t="s">
        <v>15</v>
      </c>
      <c r="D97" s="6">
        <v>1</v>
      </c>
      <c r="E97" s="14">
        <v>251.1</v>
      </c>
      <c r="F97" s="5">
        <v>10.045872</v>
      </c>
      <c r="G97" s="5">
        <f>10*25*0.0425</f>
        <v>10.625</v>
      </c>
      <c r="I97" s="234">
        <f>+G97/F97</f>
        <v>1.0576483554638165</v>
      </c>
      <c r="J97" s="235">
        <f>+I97/4</f>
        <v>0.26441208886595413</v>
      </c>
      <c r="U97" t="s">
        <v>99</v>
      </c>
      <c r="X97" s="93">
        <f>SUM(X84:X96)</f>
        <v>1515</v>
      </c>
    </row>
    <row r="98" spans="2:10" ht="13.5" thickTop="1">
      <c r="B98" s="55"/>
      <c r="C98" s="6" t="s">
        <v>40</v>
      </c>
      <c r="D98" s="6">
        <v>2</v>
      </c>
      <c r="E98" s="14">
        <v>151.6</v>
      </c>
      <c r="F98" s="5">
        <v>6.062128</v>
      </c>
      <c r="G98" s="5">
        <f>6*1.25</f>
        <v>7.5</v>
      </c>
      <c r="I98" s="234">
        <f>+G98/F98</f>
        <v>1.2371893170187103</v>
      </c>
      <c r="J98" s="235">
        <f>+I98/4</f>
        <v>0.30929732925467757</v>
      </c>
    </row>
    <row r="99" spans="2:10" ht="13.5" thickBot="1">
      <c r="B99" s="55"/>
      <c r="C99" s="6" t="s">
        <v>41</v>
      </c>
      <c r="D99" s="6">
        <v>3</v>
      </c>
      <c r="E99" s="14">
        <f>203</f>
        <v>203</v>
      </c>
      <c r="F99" s="5">
        <v>8.1209</v>
      </c>
      <c r="G99" s="5">
        <f>203*0.0675</f>
        <v>13.7025</v>
      </c>
      <c r="I99" s="234">
        <f>+G99/F99</f>
        <v>1.687312982551195</v>
      </c>
      <c r="J99" s="235">
        <f>+I99/4</f>
        <v>0.42182824563779875</v>
      </c>
    </row>
    <row r="100" spans="3:24" ht="18.75" thickBot="1">
      <c r="C100" s="6" t="s">
        <v>42</v>
      </c>
      <c r="D100" s="6">
        <v>5</v>
      </c>
      <c r="E100" s="14">
        <f>123</f>
        <v>123</v>
      </c>
      <c r="F100" s="5">
        <v>4.91992</v>
      </c>
      <c r="G100" s="5">
        <f>123*0.069</f>
        <v>8.487</v>
      </c>
      <c r="I100" s="234">
        <f>+G100/F100</f>
        <v>1.7250280492365728</v>
      </c>
      <c r="J100" s="235">
        <f>+I100/4</f>
        <v>0.4312570123091432</v>
      </c>
      <c r="S100" s="19" t="s">
        <v>68</v>
      </c>
      <c r="T100" s="102" t="s">
        <v>58</v>
      </c>
      <c r="U100" t="s">
        <v>57</v>
      </c>
      <c r="V100" s="14">
        <f>(+$E$23+$F$23)*2*0+146.1*4</f>
        <v>584.4</v>
      </c>
      <c r="W100" s="17" t="s">
        <v>67</v>
      </c>
      <c r="X100" s="71">
        <f>+X97/+(V100)</f>
        <v>2.5924024640657084</v>
      </c>
    </row>
    <row r="101" spans="4:24" ht="12.75">
      <c r="D101" s="6"/>
      <c r="E101" s="14"/>
      <c r="F101" s="5"/>
      <c r="G101" s="5"/>
      <c r="I101" s="234"/>
      <c r="J101" s="235"/>
      <c r="S101" s="1"/>
      <c r="T101" s="1"/>
      <c r="X101" s="56"/>
    </row>
    <row r="102" spans="5:25" ht="13.5" thickBot="1">
      <c r="E102" s="14"/>
      <c r="X102" s="1" t="s">
        <v>62</v>
      </c>
      <c r="Y102" s="58">
        <f>+Y84*0.5</f>
        <v>59.887</v>
      </c>
    </row>
    <row r="103" spans="4:25" ht="18.75" thickBot="1">
      <c r="D103" s="16" t="s">
        <v>37</v>
      </c>
      <c r="E103" s="34">
        <f>SUM(E97:E102)</f>
        <v>728.7</v>
      </c>
      <c r="F103" s="59">
        <f>SUM(F97:F102)</f>
        <v>29.148820000000004</v>
      </c>
      <c r="G103" s="59">
        <f>SUM(G97:G102)</f>
        <v>40.3145</v>
      </c>
      <c r="S103" s="19" t="s">
        <v>59</v>
      </c>
      <c r="T103" s="102" t="s">
        <v>58</v>
      </c>
      <c r="U103" t="s">
        <v>57</v>
      </c>
      <c r="V103" s="14">
        <f>(+$E$23+$F$23)</f>
        <v>291.2</v>
      </c>
      <c r="X103" s="24" t="s">
        <v>60</v>
      </c>
      <c r="Y103" s="69">
        <f>+V103/Y102</f>
        <v>4.862491024763304</v>
      </c>
    </row>
    <row r="104" ht="13.5" thickTop="1"/>
    <row r="105" spans="2:10" ht="12.75">
      <c r="B105" s="86"/>
      <c r="D105" s="6">
        <v>7</v>
      </c>
      <c r="E105" s="14">
        <v>2.9</v>
      </c>
      <c r="F105" s="5">
        <v>0.383333</v>
      </c>
      <c r="G105" s="5">
        <f>3*0.05</f>
        <v>0.15000000000000002</v>
      </c>
      <c r="I105" s="234">
        <f>+G105/F105</f>
        <v>0.3913046880910332</v>
      </c>
      <c r="J105" s="235">
        <f>+I105/4</f>
        <v>0.0978261720227583</v>
      </c>
    </row>
    <row r="110" ht="12.75">
      <c r="L110" s="85"/>
    </row>
  </sheetData>
  <sheetProtection/>
  <printOptions/>
  <pageMargins left="0.75" right="0.75" top="1" bottom="1" header="0.5" footer="0.5"/>
  <pageSetup orientation="portrait" paperSize="9" r:id="rId3"/>
  <ignoredErrors>
    <ignoredError sqref="Q56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8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10" customWidth="1"/>
    <col min="25" max="25" width="9.140625" style="5" customWidth="1"/>
  </cols>
  <sheetData>
    <row r="1" spans="2:12" ht="31.5">
      <c r="B1" s="113" t="s">
        <v>126</v>
      </c>
      <c r="G1" s="98"/>
      <c r="H1" s="65"/>
      <c r="I1" s="64"/>
      <c r="J1" s="65" t="s">
        <v>108</v>
      </c>
      <c r="K1" s="64"/>
      <c r="L1" s="64"/>
    </row>
    <row r="2" spans="1:25" s="98" customFormat="1" ht="10.5" customHeight="1">
      <c r="A2" s="31"/>
      <c r="B2" s="97"/>
      <c r="H2" s="99"/>
      <c r="X2" s="100"/>
      <c r="Y2" s="101"/>
    </row>
    <row r="3" spans="2:6" ht="20.25">
      <c r="B3" s="114" t="s">
        <v>110</v>
      </c>
      <c r="C3" s="95"/>
      <c r="D3" s="185"/>
      <c r="E3" s="104"/>
      <c r="F3" s="96"/>
    </row>
    <row r="4" spans="1:25" s="19" customFormat="1" ht="13.5" thickBot="1">
      <c r="A4" s="17"/>
      <c r="C4" s="144"/>
      <c r="D4" s="175" t="s">
        <v>20</v>
      </c>
      <c r="E4" s="43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19">
        <v>2015</v>
      </c>
      <c r="R4" s="19">
        <v>2016</v>
      </c>
      <c r="S4" s="19">
        <v>2017</v>
      </c>
      <c r="T4" s="19">
        <v>2018</v>
      </c>
      <c r="U4" s="19">
        <v>2019</v>
      </c>
      <c r="V4" s="19">
        <v>2020</v>
      </c>
      <c r="W4" s="17"/>
      <c r="X4" s="24"/>
      <c r="Y4" s="23"/>
    </row>
    <row r="5" spans="2:25" s="129" customFormat="1" ht="17.25" thickBot="1">
      <c r="B5" s="136" t="s">
        <v>105</v>
      </c>
      <c r="C5" s="137"/>
      <c r="D5" s="186"/>
      <c r="E5" s="183"/>
      <c r="F5" s="138"/>
      <c r="G5" s="138">
        <v>0.0225</v>
      </c>
      <c r="H5" s="139">
        <f aca="true" t="shared" si="0" ref="H5:O6">+G5</f>
        <v>0.0225</v>
      </c>
      <c r="I5" s="138">
        <f t="shared" si="0"/>
        <v>0.0225</v>
      </c>
      <c r="J5" s="138">
        <f t="shared" si="0"/>
        <v>0.0225</v>
      </c>
      <c r="K5" s="138">
        <f t="shared" si="0"/>
        <v>0.0225</v>
      </c>
      <c r="L5" s="139">
        <f t="shared" si="0"/>
        <v>0.0225</v>
      </c>
      <c r="M5" s="181">
        <f t="shared" si="0"/>
        <v>0.0225</v>
      </c>
      <c r="N5" s="138">
        <f t="shared" si="0"/>
        <v>0.0225</v>
      </c>
      <c r="O5" s="138">
        <f t="shared" si="0"/>
        <v>0.0225</v>
      </c>
      <c r="P5" s="139">
        <f>+O5</f>
        <v>0.0225</v>
      </c>
      <c r="Q5" s="179">
        <v>0.15</v>
      </c>
      <c r="R5" s="179">
        <v>0.15</v>
      </c>
      <c r="S5" s="139">
        <v>0.15</v>
      </c>
      <c r="T5" s="139">
        <v>0.15</v>
      </c>
      <c r="U5" s="139">
        <v>0.15</v>
      </c>
      <c r="V5" s="139">
        <v>0.15</v>
      </c>
      <c r="X5" s="134"/>
      <c r="Y5" s="135"/>
    </row>
    <row r="6" spans="2:25" s="129" customFormat="1" ht="17.25" thickBot="1">
      <c r="B6" s="130" t="s">
        <v>106</v>
      </c>
      <c r="C6" s="131"/>
      <c r="D6" s="131"/>
      <c r="E6" s="180"/>
      <c r="F6" s="197"/>
      <c r="G6" s="132">
        <v>-0.044</v>
      </c>
      <c r="H6" s="133">
        <f t="shared" si="0"/>
        <v>-0.044</v>
      </c>
      <c r="I6" s="182">
        <f t="shared" si="0"/>
        <v>-0.044</v>
      </c>
      <c r="J6" s="132">
        <f t="shared" si="0"/>
        <v>-0.044</v>
      </c>
      <c r="K6" s="132">
        <f t="shared" si="0"/>
        <v>-0.044</v>
      </c>
      <c r="L6" s="133">
        <f t="shared" si="0"/>
        <v>-0.044</v>
      </c>
      <c r="M6" s="182">
        <f t="shared" si="0"/>
        <v>-0.044</v>
      </c>
      <c r="N6" s="132">
        <f t="shared" si="0"/>
        <v>-0.044</v>
      </c>
      <c r="O6" s="132">
        <f t="shared" si="0"/>
        <v>-0.044</v>
      </c>
      <c r="P6" s="133">
        <f>+O6</f>
        <v>-0.044</v>
      </c>
      <c r="Q6" s="180">
        <v>-0.15</v>
      </c>
      <c r="R6" s="180">
        <v>-0.15</v>
      </c>
      <c r="S6" s="133">
        <v>-0.1</v>
      </c>
      <c r="T6" s="133">
        <v>-0.05</v>
      </c>
      <c r="U6" s="133">
        <v>0</v>
      </c>
      <c r="V6" s="133">
        <v>0</v>
      </c>
      <c r="X6" s="134"/>
      <c r="Y6" s="135"/>
    </row>
    <row r="7" spans="2:6" ht="20.25">
      <c r="B7" s="94"/>
      <c r="C7" s="95"/>
      <c r="D7" s="95"/>
      <c r="E7" s="104"/>
      <c r="F7" s="198"/>
    </row>
    <row r="8" spans="1:25" s="16" customFormat="1" ht="15.75">
      <c r="A8" s="17"/>
      <c r="D8" s="155"/>
      <c r="E8" s="189"/>
      <c r="F8" s="199" t="s">
        <v>56</v>
      </c>
      <c r="X8" s="24"/>
      <c r="Y8" s="23"/>
    </row>
    <row r="9" spans="1:25" s="19" customFormat="1" ht="12.75">
      <c r="A9" s="17"/>
      <c r="C9" s="144" t="s">
        <v>36</v>
      </c>
      <c r="D9" s="175" t="s">
        <v>20</v>
      </c>
      <c r="E9" s="196" t="s">
        <v>1</v>
      </c>
      <c r="F9" s="200" t="s">
        <v>2</v>
      </c>
      <c r="G9" s="20" t="s">
        <v>3</v>
      </c>
      <c r="H9" s="20" t="s">
        <v>4</v>
      </c>
      <c r="I9" s="21" t="s">
        <v>5</v>
      </c>
      <c r="J9" s="21" t="s">
        <v>6</v>
      </c>
      <c r="K9" s="21" t="s">
        <v>7</v>
      </c>
      <c r="L9" s="21" t="s">
        <v>8</v>
      </c>
      <c r="M9" s="22" t="s">
        <v>9</v>
      </c>
      <c r="N9" s="22" t="s">
        <v>10</v>
      </c>
      <c r="O9" s="22" t="s">
        <v>11</v>
      </c>
      <c r="P9" s="22" t="s">
        <v>12</v>
      </c>
      <c r="Q9" s="19">
        <v>2015</v>
      </c>
      <c r="R9" s="19">
        <v>2016</v>
      </c>
      <c r="S9" s="19">
        <v>2017</v>
      </c>
      <c r="T9" s="19">
        <v>2018</v>
      </c>
      <c r="U9" s="19">
        <v>2019</v>
      </c>
      <c r="V9" s="19">
        <v>2020</v>
      </c>
      <c r="W9" s="17" t="s">
        <v>46</v>
      </c>
      <c r="X9" s="24"/>
      <c r="Y9" s="23"/>
    </row>
    <row r="10" spans="1:25" s="2" customFormat="1" ht="12.75">
      <c r="A10" s="31"/>
      <c r="B10" s="53" t="s">
        <v>57</v>
      </c>
      <c r="C10" s="145"/>
      <c r="D10" s="149"/>
      <c r="E10" s="149"/>
      <c r="F10" s="201"/>
      <c r="X10" s="9"/>
      <c r="Y10" s="11"/>
    </row>
    <row r="11" spans="1:25" s="2" customFormat="1" ht="12.75">
      <c r="A11" s="31"/>
      <c r="B11" s="103"/>
      <c r="C11" s="145"/>
      <c r="D11" s="149"/>
      <c r="E11" s="149"/>
      <c r="F11" s="201"/>
      <c r="X11" s="9"/>
      <c r="Y11" s="11"/>
    </row>
    <row r="12" spans="1:25" s="2" customFormat="1" ht="12.75">
      <c r="A12" s="31"/>
      <c r="B12" s="72" t="s">
        <v>73</v>
      </c>
      <c r="C12" s="145"/>
      <c r="D12" s="157">
        <v>90</v>
      </c>
      <c r="E12" s="157">
        <v>85.9</v>
      </c>
      <c r="F12" s="202">
        <v>89.7</v>
      </c>
      <c r="G12" s="12">
        <f aca="true" t="shared" si="1" ref="G12:P12">+F12*(1+G13)</f>
        <v>91.71825</v>
      </c>
      <c r="H12" s="12">
        <f t="shared" si="1"/>
        <v>93.781910625</v>
      </c>
      <c r="I12" s="12">
        <f t="shared" si="1"/>
        <v>95.89200361406249</v>
      </c>
      <c r="J12" s="12">
        <f t="shared" si="1"/>
        <v>98.0495736953789</v>
      </c>
      <c r="K12" s="12">
        <f t="shared" si="1"/>
        <v>100.25568910352492</v>
      </c>
      <c r="L12" s="12">
        <f t="shared" si="1"/>
        <v>102.51144210835422</v>
      </c>
      <c r="M12" s="12">
        <f t="shared" si="1"/>
        <v>104.81794955579218</v>
      </c>
      <c r="N12" s="12">
        <f t="shared" si="1"/>
        <v>107.1763534207975</v>
      </c>
      <c r="O12" s="12">
        <f t="shared" si="1"/>
        <v>109.58782137276543</v>
      </c>
      <c r="P12" s="12">
        <f t="shared" si="1"/>
        <v>112.05354735365265</v>
      </c>
      <c r="Q12" s="12">
        <f>+P12*4</f>
        <v>448.2141894146106</v>
      </c>
      <c r="R12" s="12">
        <f>+Q12*(1+R13)</f>
        <v>515.4463178268021</v>
      </c>
      <c r="S12" s="12">
        <f>+R12*(1+S13)</f>
        <v>592.7632655008224</v>
      </c>
      <c r="T12" s="12">
        <f>+S12*(1+T13)</f>
        <v>681.6777553259457</v>
      </c>
      <c r="U12" s="12">
        <f>+T12*(1+U13)</f>
        <v>783.9294186248375</v>
      </c>
      <c r="V12" s="12">
        <f>+U12*(1+V13)</f>
        <v>901.518831418563</v>
      </c>
      <c r="X12" s="9"/>
      <c r="Y12" s="11"/>
    </row>
    <row r="13" spans="1:25" s="2" customFormat="1" ht="12.75">
      <c r="A13" s="31"/>
      <c r="B13" s="73" t="s">
        <v>76</v>
      </c>
      <c r="C13" s="146"/>
      <c r="D13" s="146"/>
      <c r="E13" s="190"/>
      <c r="F13" s="203"/>
      <c r="G13" s="77">
        <f aca="true" t="shared" si="2" ref="G13:R13">+G5</f>
        <v>0.0225</v>
      </c>
      <c r="H13" s="77">
        <f t="shared" si="2"/>
        <v>0.0225</v>
      </c>
      <c r="I13" s="77">
        <f t="shared" si="2"/>
        <v>0.0225</v>
      </c>
      <c r="J13" s="77">
        <f t="shared" si="2"/>
        <v>0.0225</v>
      </c>
      <c r="K13" s="77">
        <f t="shared" si="2"/>
        <v>0.0225</v>
      </c>
      <c r="L13" s="77">
        <f t="shared" si="2"/>
        <v>0.0225</v>
      </c>
      <c r="M13" s="77">
        <f t="shared" si="2"/>
        <v>0.0225</v>
      </c>
      <c r="N13" s="77">
        <f t="shared" si="2"/>
        <v>0.0225</v>
      </c>
      <c r="O13" s="77">
        <f t="shared" si="2"/>
        <v>0.0225</v>
      </c>
      <c r="P13" s="77">
        <f t="shared" si="2"/>
        <v>0.0225</v>
      </c>
      <c r="Q13" s="77">
        <f t="shared" si="2"/>
        <v>0.15</v>
      </c>
      <c r="R13" s="77">
        <f t="shared" si="2"/>
        <v>0.15</v>
      </c>
      <c r="S13" s="77">
        <f>+S5</f>
        <v>0.15</v>
      </c>
      <c r="T13" s="77">
        <f>+T5</f>
        <v>0.15</v>
      </c>
      <c r="U13" s="77">
        <f>+U5</f>
        <v>0.15</v>
      </c>
      <c r="V13" s="77">
        <f>+V5</f>
        <v>0.15</v>
      </c>
      <c r="X13" s="9"/>
      <c r="Y13" s="11"/>
    </row>
    <row r="14" spans="1:22" s="111" customFormat="1" ht="12.75">
      <c r="A14" s="109"/>
      <c r="B14" s="110" t="s">
        <v>122</v>
      </c>
      <c r="C14" s="107"/>
      <c r="D14" s="107">
        <v>0.394</v>
      </c>
      <c r="E14" s="107">
        <v>0.4</v>
      </c>
      <c r="F14" s="204">
        <f aca="true" t="shared" si="3" ref="F14:R14">+E14</f>
        <v>0.4</v>
      </c>
      <c r="G14" s="111">
        <f t="shared" si="3"/>
        <v>0.4</v>
      </c>
      <c r="H14" s="111">
        <f t="shared" si="3"/>
        <v>0.4</v>
      </c>
      <c r="I14" s="111">
        <f t="shared" si="3"/>
        <v>0.4</v>
      </c>
      <c r="J14" s="111">
        <f t="shared" si="3"/>
        <v>0.4</v>
      </c>
      <c r="K14" s="111">
        <f t="shared" si="3"/>
        <v>0.4</v>
      </c>
      <c r="L14" s="111">
        <f t="shared" si="3"/>
        <v>0.4</v>
      </c>
      <c r="M14" s="111">
        <f t="shared" si="3"/>
        <v>0.4</v>
      </c>
      <c r="N14" s="111">
        <f t="shared" si="3"/>
        <v>0.4</v>
      </c>
      <c r="O14" s="111">
        <f t="shared" si="3"/>
        <v>0.4</v>
      </c>
      <c r="P14" s="111">
        <f t="shared" si="3"/>
        <v>0.4</v>
      </c>
      <c r="Q14" s="111">
        <f t="shared" si="3"/>
        <v>0.4</v>
      </c>
      <c r="R14" s="111">
        <f t="shared" si="3"/>
        <v>0.4</v>
      </c>
      <c r="S14" s="111">
        <f>+R14</f>
        <v>0.4</v>
      </c>
      <c r="T14" s="111">
        <f>+S14</f>
        <v>0.4</v>
      </c>
      <c r="U14" s="111">
        <f>+T14</f>
        <v>0.4</v>
      </c>
      <c r="V14" s="111">
        <f>+U14</f>
        <v>0.4</v>
      </c>
    </row>
    <row r="15" spans="1:25" s="2" customFormat="1" ht="12.75">
      <c r="A15" s="31"/>
      <c r="B15" s="26" t="s">
        <v>75</v>
      </c>
      <c r="C15" s="145"/>
      <c r="D15" s="80">
        <f>+D12*D14</f>
        <v>35.46</v>
      </c>
      <c r="E15" s="80">
        <f>+E12*E14</f>
        <v>34.36000000000001</v>
      </c>
      <c r="F15" s="205">
        <f aca="true" t="shared" si="4" ref="F15:R15">+F12*F14</f>
        <v>35.88</v>
      </c>
      <c r="G15" s="80">
        <f t="shared" si="4"/>
        <v>36.6873</v>
      </c>
      <c r="H15" s="80">
        <f t="shared" si="4"/>
        <v>37.51276425</v>
      </c>
      <c r="I15" s="80">
        <f t="shared" si="4"/>
        <v>38.356801445624995</v>
      </c>
      <c r="J15" s="80">
        <f t="shared" si="4"/>
        <v>39.21982947815156</v>
      </c>
      <c r="K15" s="80">
        <f t="shared" si="4"/>
        <v>40.10227564140997</v>
      </c>
      <c r="L15" s="80">
        <f t="shared" si="4"/>
        <v>41.00457684334169</v>
      </c>
      <c r="M15" s="80">
        <f t="shared" si="4"/>
        <v>41.92717982231687</v>
      </c>
      <c r="N15" s="80">
        <f t="shared" si="4"/>
        <v>42.870541368319</v>
      </c>
      <c r="O15" s="80">
        <f t="shared" si="4"/>
        <v>43.83512854910617</v>
      </c>
      <c r="P15" s="80">
        <f t="shared" si="4"/>
        <v>44.82141894146106</v>
      </c>
      <c r="Q15" s="80">
        <f t="shared" si="4"/>
        <v>179.28567576584425</v>
      </c>
      <c r="R15" s="80">
        <f t="shared" si="4"/>
        <v>206.17852713072085</v>
      </c>
      <c r="S15" s="80">
        <f>+S12*S14</f>
        <v>237.10530620032898</v>
      </c>
      <c r="T15" s="80">
        <f>+T12*T14</f>
        <v>272.6711021303783</v>
      </c>
      <c r="U15" s="80">
        <f>+U12*U14</f>
        <v>313.571767449935</v>
      </c>
      <c r="V15" s="80">
        <f>+V12*V14</f>
        <v>360.6075325674252</v>
      </c>
      <c r="X15" s="9"/>
      <c r="Y15" s="11"/>
    </row>
    <row r="16" spans="1:25" s="2" customFormat="1" ht="12.75">
      <c r="A16" s="31"/>
      <c r="B16" s="72"/>
      <c r="C16" s="145"/>
      <c r="D16" s="157"/>
      <c r="E16" s="157"/>
      <c r="F16" s="20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9"/>
      <c r="Y16" s="11"/>
    </row>
    <row r="17" spans="1:25" s="2" customFormat="1" ht="12.75">
      <c r="A17" s="31"/>
      <c r="B17" s="72" t="s">
        <v>74</v>
      </c>
      <c r="C17" s="145"/>
      <c r="D17" s="157">
        <v>223.3</v>
      </c>
      <c r="E17" s="157">
        <f>+E22-E12</f>
        <v>203.20000000000002</v>
      </c>
      <c r="F17" s="202">
        <f>+F22-F12</f>
        <v>196.8</v>
      </c>
      <c r="G17" s="12">
        <f aca="true" t="shared" si="5" ref="G17:R17">+F17*(1+G18)</f>
        <v>188.1408</v>
      </c>
      <c r="H17" s="12">
        <f t="shared" si="5"/>
        <v>179.8626048</v>
      </c>
      <c r="I17" s="12">
        <f t="shared" si="5"/>
        <v>171.9486501888</v>
      </c>
      <c r="J17" s="12">
        <f t="shared" si="5"/>
        <v>164.3829095804928</v>
      </c>
      <c r="K17" s="12">
        <f t="shared" si="5"/>
        <v>157.1500615589511</v>
      </c>
      <c r="L17" s="12">
        <f t="shared" si="5"/>
        <v>150.23545885035725</v>
      </c>
      <c r="M17" s="12">
        <f t="shared" si="5"/>
        <v>143.62509866094152</v>
      </c>
      <c r="N17" s="12">
        <f t="shared" si="5"/>
        <v>137.3055943198601</v>
      </c>
      <c r="O17" s="12">
        <f t="shared" si="5"/>
        <v>131.26414816978624</v>
      </c>
      <c r="P17" s="12">
        <f t="shared" si="5"/>
        <v>125.48852565031564</v>
      </c>
      <c r="Q17" s="12">
        <f>+P17*4</f>
        <v>501.95410260126255</v>
      </c>
      <c r="R17" s="12">
        <f t="shared" si="5"/>
        <v>426.6609872110732</v>
      </c>
      <c r="S17" s="12">
        <f>+R17*(1+S18)</f>
        <v>383.9948884899659</v>
      </c>
      <c r="T17" s="12">
        <f>+S17*(1+T18)</f>
        <v>364.7951440654676</v>
      </c>
      <c r="U17" s="12">
        <f>+T17*(1+U18)</f>
        <v>364.7951440654676</v>
      </c>
      <c r="V17" s="12">
        <f>+U17*(1+V18)</f>
        <v>364.7951440654676</v>
      </c>
      <c r="X17" s="9"/>
      <c r="Y17" s="11"/>
    </row>
    <row r="18" spans="1:25" s="2" customFormat="1" ht="12.75">
      <c r="A18" s="31"/>
      <c r="B18" s="73" t="s">
        <v>79</v>
      </c>
      <c r="C18" s="145"/>
      <c r="D18" s="157"/>
      <c r="E18" s="191"/>
      <c r="F18" s="206"/>
      <c r="G18" s="78">
        <f aca="true" t="shared" si="6" ref="G18:R18">+G6</f>
        <v>-0.044</v>
      </c>
      <c r="H18" s="78">
        <f t="shared" si="6"/>
        <v>-0.044</v>
      </c>
      <c r="I18" s="78">
        <f t="shared" si="6"/>
        <v>-0.044</v>
      </c>
      <c r="J18" s="78">
        <f t="shared" si="6"/>
        <v>-0.044</v>
      </c>
      <c r="K18" s="78">
        <f t="shared" si="6"/>
        <v>-0.044</v>
      </c>
      <c r="L18" s="78">
        <f t="shared" si="6"/>
        <v>-0.044</v>
      </c>
      <c r="M18" s="78">
        <f t="shared" si="6"/>
        <v>-0.044</v>
      </c>
      <c r="N18" s="78">
        <f t="shared" si="6"/>
        <v>-0.044</v>
      </c>
      <c r="O18" s="78">
        <f t="shared" si="6"/>
        <v>-0.044</v>
      </c>
      <c r="P18" s="78">
        <f t="shared" si="6"/>
        <v>-0.044</v>
      </c>
      <c r="Q18" s="78">
        <f t="shared" si="6"/>
        <v>-0.15</v>
      </c>
      <c r="R18" s="78">
        <f t="shared" si="6"/>
        <v>-0.15</v>
      </c>
      <c r="S18" s="78">
        <f>+S6</f>
        <v>-0.1</v>
      </c>
      <c r="T18" s="78">
        <f>+T6</f>
        <v>-0.05</v>
      </c>
      <c r="U18" s="78">
        <f>+U6</f>
        <v>0</v>
      </c>
      <c r="V18" s="78">
        <f>+V6</f>
        <v>0</v>
      </c>
      <c r="X18" s="9"/>
      <c r="Y18" s="11"/>
    </row>
    <row r="19" spans="1:23" s="111" customFormat="1" ht="15">
      <c r="A19" s="109"/>
      <c r="B19" s="110" t="s">
        <v>122</v>
      </c>
      <c r="C19" s="147"/>
      <c r="D19" s="107">
        <v>0.5</v>
      </c>
      <c r="E19" s="107">
        <v>0.55</v>
      </c>
      <c r="F19" s="204">
        <v>0.56</v>
      </c>
      <c r="G19" s="107">
        <v>0.545</v>
      </c>
      <c r="H19" s="107">
        <v>0.54</v>
      </c>
      <c r="I19" s="107">
        <v>0.54</v>
      </c>
      <c r="J19" s="107">
        <v>0.535</v>
      </c>
      <c r="K19" s="107">
        <v>0.53</v>
      </c>
      <c r="L19" s="107">
        <v>0.53</v>
      </c>
      <c r="M19" s="107">
        <v>0.53</v>
      </c>
      <c r="N19" s="107">
        <v>0.53</v>
      </c>
      <c r="O19" s="107">
        <v>0.53</v>
      </c>
      <c r="P19" s="107">
        <v>0.53</v>
      </c>
      <c r="Q19" s="107">
        <v>0.53</v>
      </c>
      <c r="R19" s="107">
        <v>0.53</v>
      </c>
      <c r="S19" s="107">
        <v>0.53</v>
      </c>
      <c r="T19" s="107">
        <v>0.53</v>
      </c>
      <c r="U19" s="107">
        <v>0.53</v>
      </c>
      <c r="V19" s="107">
        <v>0.53</v>
      </c>
      <c r="W19" s="128"/>
    </row>
    <row r="20" spans="1:25" s="2" customFormat="1" ht="12.75">
      <c r="A20" s="31"/>
      <c r="B20" s="26" t="s">
        <v>77</v>
      </c>
      <c r="C20" s="145"/>
      <c r="D20" s="80">
        <f>+D17*D19</f>
        <v>111.65</v>
      </c>
      <c r="E20" s="80">
        <f>+E23-E15</f>
        <v>111.63999999999999</v>
      </c>
      <c r="F20" s="205">
        <f>+F23-F15</f>
        <v>109.32</v>
      </c>
      <c r="G20" s="80">
        <f aca="true" t="shared" si="7" ref="G20:R20">+G17*G19</f>
        <v>102.53673600000002</v>
      </c>
      <c r="H20" s="80">
        <f t="shared" si="7"/>
        <v>97.12580659200002</v>
      </c>
      <c r="I20" s="80">
        <f t="shared" si="7"/>
        <v>92.85227110195201</v>
      </c>
      <c r="J20" s="80">
        <f t="shared" si="7"/>
        <v>87.94485662556365</v>
      </c>
      <c r="K20" s="80">
        <f t="shared" si="7"/>
        <v>83.2895326262441</v>
      </c>
      <c r="L20" s="80">
        <f t="shared" si="7"/>
        <v>79.62479319068935</v>
      </c>
      <c r="M20" s="80">
        <f t="shared" si="7"/>
        <v>76.12130229029901</v>
      </c>
      <c r="N20" s="80">
        <f t="shared" si="7"/>
        <v>72.77196498952586</v>
      </c>
      <c r="O20" s="80">
        <f t="shared" si="7"/>
        <v>69.5699985299867</v>
      </c>
      <c r="P20" s="80">
        <f t="shared" si="7"/>
        <v>66.50891859466729</v>
      </c>
      <c r="Q20" s="80">
        <f t="shared" si="7"/>
        <v>266.03567437866917</v>
      </c>
      <c r="R20" s="80">
        <f t="shared" si="7"/>
        <v>226.1303232218688</v>
      </c>
      <c r="S20" s="80">
        <f>+S17*S19</f>
        <v>203.51729089968194</v>
      </c>
      <c r="T20" s="80">
        <f>+T17*T19</f>
        <v>193.34142635469783</v>
      </c>
      <c r="U20" s="80">
        <f>+U17*U19</f>
        <v>193.34142635469783</v>
      </c>
      <c r="V20" s="80">
        <f>+V17*V19</f>
        <v>193.34142635469783</v>
      </c>
      <c r="X20" s="9"/>
      <c r="Y20" s="11"/>
    </row>
    <row r="21" spans="1:25" s="2" customFormat="1" ht="12.75">
      <c r="A21" s="31"/>
      <c r="B21" s="73"/>
      <c r="C21" s="145"/>
      <c r="D21" s="38"/>
      <c r="E21" s="38"/>
      <c r="F21" s="20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9"/>
      <c r="Y21" s="11"/>
    </row>
    <row r="22" spans="1:25" s="2" customFormat="1" ht="12.75">
      <c r="A22" s="31"/>
      <c r="B22" s="73" t="s">
        <v>80</v>
      </c>
      <c r="C22" s="145"/>
      <c r="D22" s="157">
        <f>+D12+D17</f>
        <v>313.3</v>
      </c>
      <c r="E22" s="157">
        <v>289.1</v>
      </c>
      <c r="F22" s="202">
        <v>286.5</v>
      </c>
      <c r="G22" s="12">
        <f aca="true" t="shared" si="8" ref="G22:R22">+G12+G17</f>
        <v>279.85905</v>
      </c>
      <c r="H22" s="12">
        <f t="shared" si="8"/>
        <v>273.644515425</v>
      </c>
      <c r="I22" s="12">
        <f t="shared" si="8"/>
        <v>267.8406538028625</v>
      </c>
      <c r="J22" s="12">
        <f t="shared" si="8"/>
        <v>262.4324832758717</v>
      </c>
      <c r="K22" s="12">
        <f t="shared" si="8"/>
        <v>257.405750662476</v>
      </c>
      <c r="L22" s="12">
        <f t="shared" si="8"/>
        <v>252.74690095871148</v>
      </c>
      <c r="M22" s="12">
        <f t="shared" si="8"/>
        <v>248.4430482167337</v>
      </c>
      <c r="N22" s="12">
        <f t="shared" si="8"/>
        <v>244.48194774065757</v>
      </c>
      <c r="O22" s="12">
        <f t="shared" si="8"/>
        <v>240.85196954255167</v>
      </c>
      <c r="P22" s="12">
        <f t="shared" si="8"/>
        <v>237.54207300396828</v>
      </c>
      <c r="Q22" s="12">
        <f t="shared" si="8"/>
        <v>950.1682920158731</v>
      </c>
      <c r="R22" s="12">
        <f t="shared" si="8"/>
        <v>942.1073050378752</v>
      </c>
      <c r="S22" s="12">
        <f>+S12+S17</f>
        <v>976.7581539907883</v>
      </c>
      <c r="T22" s="12">
        <f>+T12+T17</f>
        <v>1046.4728993914132</v>
      </c>
      <c r="U22" s="12">
        <f>+U12+U17</f>
        <v>1148.724562690305</v>
      </c>
      <c r="V22" s="12">
        <f>+V12+V17</f>
        <v>1266.3139754840306</v>
      </c>
      <c r="X22" s="9"/>
      <c r="Y22" s="11"/>
    </row>
    <row r="23" spans="1:25" s="26" customFormat="1" ht="13.5" thickBot="1">
      <c r="A23" s="32" t="s">
        <v>15</v>
      </c>
      <c r="B23" s="32" t="s">
        <v>112</v>
      </c>
      <c r="C23" s="148"/>
      <c r="D23" s="81">
        <f>+D15+D20</f>
        <v>147.11</v>
      </c>
      <c r="E23" s="81">
        <v>146</v>
      </c>
      <c r="F23" s="208">
        <v>145.2</v>
      </c>
      <c r="G23" s="81">
        <f aca="true" t="shared" si="9" ref="G23:R23">+G15+G20</f>
        <v>139.224036</v>
      </c>
      <c r="H23" s="81">
        <f t="shared" si="9"/>
        <v>134.638570842</v>
      </c>
      <c r="I23" s="81">
        <f t="shared" si="9"/>
        <v>131.20907254757702</v>
      </c>
      <c r="J23" s="81">
        <f t="shared" si="9"/>
        <v>127.16468610371521</v>
      </c>
      <c r="K23" s="81">
        <f t="shared" si="9"/>
        <v>123.39180826765406</v>
      </c>
      <c r="L23" s="81">
        <f t="shared" si="9"/>
        <v>120.62937003403104</v>
      </c>
      <c r="M23" s="81">
        <f t="shared" si="9"/>
        <v>118.04848211261589</v>
      </c>
      <c r="N23" s="81">
        <f t="shared" si="9"/>
        <v>115.64250635784487</v>
      </c>
      <c r="O23" s="81">
        <f t="shared" si="9"/>
        <v>113.40512707909288</v>
      </c>
      <c r="P23" s="81">
        <f t="shared" si="9"/>
        <v>111.33033753612835</v>
      </c>
      <c r="Q23" s="81">
        <f t="shared" si="9"/>
        <v>445.3213501445134</v>
      </c>
      <c r="R23" s="81">
        <f t="shared" si="9"/>
        <v>432.3088503525896</v>
      </c>
      <c r="S23" s="81">
        <f>+S15+S20</f>
        <v>440.6225971000109</v>
      </c>
      <c r="T23" s="81">
        <f>+T15+T20</f>
        <v>466.01252848507613</v>
      </c>
      <c r="U23" s="81">
        <f>+U15+U20</f>
        <v>506.91319380463284</v>
      </c>
      <c r="V23" s="81">
        <f>+V15+V20</f>
        <v>553.948958922123</v>
      </c>
      <c r="X23" s="28"/>
      <c r="Y23" s="29"/>
    </row>
    <row r="24" spans="1:25" s="26" customFormat="1" ht="13.5" thickTop="1">
      <c r="A24" s="32"/>
      <c r="B24" s="26" t="s">
        <v>81</v>
      </c>
      <c r="C24" s="148" t="s">
        <v>125</v>
      </c>
      <c r="D24" s="83">
        <f>+D23/D22</f>
        <v>0.4695499521225663</v>
      </c>
      <c r="E24" s="83">
        <f>+E23/E22</f>
        <v>0.5050155655482531</v>
      </c>
      <c r="F24" s="209">
        <f>+F23/F22</f>
        <v>0.506806282722513</v>
      </c>
      <c r="G24" s="83">
        <f aca="true" t="shared" si="10" ref="G24:R24">+G23/G22</f>
        <v>0.4974791274393306</v>
      </c>
      <c r="H24" s="83">
        <f t="shared" si="10"/>
        <v>0.492019986707541</v>
      </c>
      <c r="I24" s="83">
        <f t="shared" si="10"/>
        <v>0.48987736060467585</v>
      </c>
      <c r="J24" s="83">
        <f t="shared" si="10"/>
        <v>0.48456153185136924</v>
      </c>
      <c r="K24" s="83">
        <f t="shared" si="10"/>
        <v>0.47936694479468683</v>
      </c>
      <c r="L24" s="83">
        <f t="shared" si="10"/>
        <v>0.4772733892145208</v>
      </c>
      <c r="M24" s="83">
        <f t="shared" si="10"/>
        <v>0.4751530902552532</v>
      </c>
      <c r="N24" s="83">
        <f t="shared" si="10"/>
        <v>0.4730104100795063</v>
      </c>
      <c r="O24" s="83">
        <f t="shared" si="10"/>
        <v>0.4708499054190106</v>
      </c>
      <c r="P24" s="83">
        <f t="shared" si="10"/>
        <v>0.4686762901756293</v>
      </c>
      <c r="Q24" s="83">
        <f t="shared" si="10"/>
        <v>0.4686762901756293</v>
      </c>
      <c r="R24" s="83">
        <f t="shared" si="10"/>
        <v>0.4588743214714906</v>
      </c>
      <c r="S24" s="83">
        <f>+S23/S22</f>
        <v>0.4511071602522464</v>
      </c>
      <c r="T24" s="83">
        <f>+T23/T22</f>
        <v>0.4453173405217568</v>
      </c>
      <c r="U24" s="83">
        <f>+U23/U22</f>
        <v>0.441283498471945</v>
      </c>
      <c r="V24" s="83">
        <f>+V23/V22</f>
        <v>0.4374499292013135</v>
      </c>
      <c r="X24" s="28"/>
      <c r="Y24" s="29"/>
    </row>
    <row r="25" spans="1:25" s="2" customFormat="1" ht="12.75">
      <c r="A25" s="31"/>
      <c r="B25" s="103"/>
      <c r="C25" s="145"/>
      <c r="D25" s="149"/>
      <c r="E25" s="149"/>
      <c r="F25" s="201"/>
      <c r="X25" s="9"/>
      <c r="Y25" s="11"/>
    </row>
    <row r="26" spans="1:25" s="26" customFormat="1" ht="12.75">
      <c r="A26" s="32"/>
      <c r="B26" s="25"/>
      <c r="C26" s="148"/>
      <c r="D26" s="38"/>
      <c r="E26" s="38"/>
      <c r="F26" s="20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X26" s="28"/>
      <c r="Y26" s="29"/>
    </row>
    <row r="27" spans="1:25" s="2" customFormat="1" ht="12.75">
      <c r="A27" s="31"/>
      <c r="B27" s="53" t="s">
        <v>47</v>
      </c>
      <c r="C27" s="149"/>
      <c r="D27" s="157"/>
      <c r="E27" s="157"/>
      <c r="F27" s="20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9"/>
      <c r="Y27" s="11"/>
    </row>
    <row r="28" spans="1:25" s="2" customFormat="1" ht="12.75">
      <c r="A28" s="31"/>
      <c r="B28" s="25" t="s">
        <v>17</v>
      </c>
      <c r="C28" s="149"/>
      <c r="D28" s="157"/>
      <c r="E28" s="157"/>
      <c r="F28" s="20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X28" s="9"/>
      <c r="Y28" s="11"/>
    </row>
    <row r="29" spans="1:25" s="2" customFormat="1" ht="12.75">
      <c r="A29" s="31"/>
      <c r="B29" s="1" t="s">
        <v>89</v>
      </c>
      <c r="C29" s="149"/>
      <c r="D29" s="157">
        <f>266*0.05/4</f>
        <v>3.325</v>
      </c>
      <c r="E29" s="157">
        <v>2.07</v>
      </c>
      <c r="F29" s="202">
        <v>1.7825</v>
      </c>
      <c r="G29" s="12">
        <v>1.495</v>
      </c>
      <c r="H29" s="12">
        <v>1.2075</v>
      </c>
      <c r="I29" s="12">
        <v>0.92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X29" s="9"/>
      <c r="Y29" s="11"/>
    </row>
    <row r="30" spans="1:25" s="2" customFormat="1" ht="12.75">
      <c r="A30" s="31"/>
      <c r="B30" s="1" t="s">
        <v>90</v>
      </c>
      <c r="C30" s="149"/>
      <c r="D30" s="157"/>
      <c r="E30" s="157">
        <f>+Y68/4</f>
        <v>2.629</v>
      </c>
      <c r="F30" s="202">
        <f>+E30</f>
        <v>2.629</v>
      </c>
      <c r="G30" s="12">
        <f>+F30</f>
        <v>2.629</v>
      </c>
      <c r="H30" s="12">
        <f>+G30</f>
        <v>2.629</v>
      </c>
      <c r="I30" s="12">
        <f>+H30*0.5</f>
        <v>1.3145</v>
      </c>
      <c r="J30" s="12"/>
      <c r="K30" s="12"/>
      <c r="L30" s="12"/>
      <c r="M30" s="27">
        <v>1.65</v>
      </c>
      <c r="N30" s="27">
        <v>1.65</v>
      </c>
      <c r="O30" s="27">
        <v>1.65</v>
      </c>
      <c r="P30" s="27">
        <v>1.65</v>
      </c>
      <c r="Q30" s="12"/>
      <c r="R30" s="12"/>
      <c r="S30" s="12"/>
      <c r="T30" s="12"/>
      <c r="U30" s="12"/>
      <c r="V30" s="12"/>
      <c r="X30" s="9"/>
      <c r="Y30" s="11"/>
    </row>
    <row r="31" spans="1:25" s="2" customFormat="1" ht="12.75">
      <c r="A31" s="31"/>
      <c r="B31" s="1" t="s">
        <v>25</v>
      </c>
      <c r="C31" s="187"/>
      <c r="D31" s="157">
        <v>0</v>
      </c>
      <c r="E31" s="157">
        <v>0</v>
      </c>
      <c r="F31" s="20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31" s="9"/>
      <c r="Y31" s="11"/>
    </row>
    <row r="32" spans="1:25" s="2" customFormat="1" ht="12.75">
      <c r="A32" s="31"/>
      <c r="B32" s="1" t="s">
        <v>34</v>
      </c>
      <c r="C32" s="149"/>
      <c r="D32" s="157">
        <f aca="true" t="shared" si="11" ref="D32:K32">+$Y71/4</f>
        <v>2.875</v>
      </c>
      <c r="E32" s="157">
        <f t="shared" si="11"/>
        <v>2.875</v>
      </c>
      <c r="F32" s="202">
        <f t="shared" si="11"/>
        <v>2.875</v>
      </c>
      <c r="G32" s="12">
        <f t="shared" si="11"/>
        <v>2.875</v>
      </c>
      <c r="H32" s="12">
        <f t="shared" si="11"/>
        <v>2.875</v>
      </c>
      <c r="I32" s="12">
        <f t="shared" si="11"/>
        <v>2.875</v>
      </c>
      <c r="J32" s="12">
        <f t="shared" si="11"/>
        <v>2.875</v>
      </c>
      <c r="K32" s="12">
        <f t="shared" si="11"/>
        <v>2.875</v>
      </c>
      <c r="L32" s="127">
        <v>0.9</v>
      </c>
      <c r="M32" s="127">
        <f>+$Y71/4*0</f>
        <v>0</v>
      </c>
      <c r="N32" s="127">
        <f>+M32</f>
        <v>0</v>
      </c>
      <c r="O32" s="127">
        <f>+N32</f>
        <v>0</v>
      </c>
      <c r="P32" s="127">
        <f>+O32</f>
        <v>0</v>
      </c>
      <c r="Q32" s="127">
        <f>+P32*4</f>
        <v>0</v>
      </c>
      <c r="R32" s="127">
        <f>+Q32</f>
        <v>0</v>
      </c>
      <c r="S32" s="127">
        <f>+R32</f>
        <v>0</v>
      </c>
      <c r="T32" s="127">
        <f>+S32</f>
        <v>0</v>
      </c>
      <c r="U32" s="127">
        <f>+T32</f>
        <v>0</v>
      </c>
      <c r="V32" s="127">
        <f>+U32</f>
        <v>0</v>
      </c>
      <c r="X32" s="9"/>
      <c r="Y32" s="11"/>
    </row>
    <row r="33" spans="1:25" s="2" customFormat="1" ht="12.75">
      <c r="A33" s="31"/>
      <c r="B33" s="1" t="s">
        <v>14</v>
      </c>
      <c r="C33" s="149"/>
      <c r="D33" s="157"/>
      <c r="E33" s="157"/>
      <c r="F33" s="20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X33" s="9"/>
      <c r="Y33" s="11"/>
    </row>
    <row r="34" spans="1:25" s="2" customFormat="1" ht="12.75">
      <c r="A34" s="31"/>
      <c r="B34" s="7" t="s">
        <v>27</v>
      </c>
      <c r="C34" s="149"/>
      <c r="D34" s="157">
        <f aca="true" t="shared" si="12" ref="D34:P41">+$Y73/4</f>
        <v>2.1125000000000003</v>
      </c>
      <c r="E34" s="157">
        <f t="shared" si="12"/>
        <v>2.1125000000000003</v>
      </c>
      <c r="F34" s="202">
        <f t="shared" si="12"/>
        <v>2.1125000000000003</v>
      </c>
      <c r="G34" s="12">
        <f t="shared" si="12"/>
        <v>2.1125000000000003</v>
      </c>
      <c r="H34" s="12">
        <f t="shared" si="12"/>
        <v>2.1125000000000003</v>
      </c>
      <c r="I34" s="12">
        <f t="shared" si="12"/>
        <v>2.1125000000000003</v>
      </c>
      <c r="J34" s="12">
        <f t="shared" si="12"/>
        <v>2.1125000000000003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X34" s="9"/>
      <c r="Y34" s="11"/>
    </row>
    <row r="35" spans="1:25" s="2" customFormat="1" ht="12.75">
      <c r="A35" s="31"/>
      <c r="B35" s="1" t="s">
        <v>26</v>
      </c>
      <c r="C35" s="149"/>
      <c r="D35" s="157">
        <f t="shared" si="12"/>
        <v>2.140625</v>
      </c>
      <c r="E35" s="157">
        <f t="shared" si="12"/>
        <v>2.140625</v>
      </c>
      <c r="F35" s="202">
        <f t="shared" si="12"/>
        <v>2.140625</v>
      </c>
      <c r="G35" s="12">
        <f t="shared" si="12"/>
        <v>2.140625</v>
      </c>
      <c r="H35" s="12">
        <f t="shared" si="12"/>
        <v>2.140625</v>
      </c>
      <c r="I35" s="12">
        <f t="shared" si="12"/>
        <v>2.140625</v>
      </c>
      <c r="J35" s="12">
        <f t="shared" si="12"/>
        <v>2.140625</v>
      </c>
      <c r="K35" s="12">
        <f t="shared" si="12"/>
        <v>2.140625</v>
      </c>
      <c r="L35" s="12">
        <f t="shared" si="12"/>
        <v>2.140625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X35" s="9"/>
      <c r="Y35" s="11"/>
    </row>
    <row r="36" spans="1:25" s="2" customFormat="1" ht="12.75">
      <c r="A36" s="31"/>
      <c r="B36" s="1" t="s">
        <v>28</v>
      </c>
      <c r="C36" s="149"/>
      <c r="D36" s="157">
        <f t="shared" si="12"/>
        <v>3.640125</v>
      </c>
      <c r="E36" s="157">
        <f t="shared" si="12"/>
        <v>3.640125</v>
      </c>
      <c r="F36" s="202">
        <f t="shared" si="12"/>
        <v>3.640125</v>
      </c>
      <c r="G36" s="12">
        <f t="shared" si="12"/>
        <v>3.640125</v>
      </c>
      <c r="H36" s="12">
        <f t="shared" si="12"/>
        <v>3.640125</v>
      </c>
      <c r="I36" s="12">
        <f t="shared" si="12"/>
        <v>3.640125</v>
      </c>
      <c r="J36" s="12">
        <f t="shared" si="12"/>
        <v>3.640125</v>
      </c>
      <c r="K36" s="12">
        <f t="shared" si="12"/>
        <v>3.640125</v>
      </c>
      <c r="L36" s="12">
        <f t="shared" si="12"/>
        <v>3.640125</v>
      </c>
      <c r="M36" s="12">
        <f t="shared" si="12"/>
        <v>3.640125</v>
      </c>
      <c r="N36" s="12"/>
      <c r="O36" s="12"/>
      <c r="P36" s="12"/>
      <c r="Q36" s="12"/>
      <c r="R36" s="12"/>
      <c r="S36" s="12"/>
      <c r="T36" s="12"/>
      <c r="U36" s="12"/>
      <c r="V36" s="12"/>
      <c r="X36" s="9"/>
      <c r="Y36" s="11"/>
    </row>
    <row r="37" spans="1:25" s="2" customFormat="1" ht="12.75">
      <c r="A37" s="31"/>
      <c r="B37" s="1" t="s">
        <v>29</v>
      </c>
      <c r="C37" s="149"/>
      <c r="D37" s="157">
        <f t="shared" si="12"/>
        <v>2.5185</v>
      </c>
      <c r="E37" s="157">
        <f t="shared" si="12"/>
        <v>2.5185</v>
      </c>
      <c r="F37" s="202">
        <f t="shared" si="12"/>
        <v>2.5185</v>
      </c>
      <c r="G37" s="12">
        <f t="shared" si="12"/>
        <v>2.5185</v>
      </c>
      <c r="H37" s="12">
        <f t="shared" si="12"/>
        <v>2.5185</v>
      </c>
      <c r="I37" s="12">
        <f t="shared" si="12"/>
        <v>2.5185</v>
      </c>
      <c r="J37" s="12">
        <f t="shared" si="12"/>
        <v>2.5185</v>
      </c>
      <c r="K37" s="12">
        <f t="shared" si="12"/>
        <v>2.5185</v>
      </c>
      <c r="L37" s="12">
        <f t="shared" si="12"/>
        <v>2.5185</v>
      </c>
      <c r="M37" s="12">
        <f t="shared" si="12"/>
        <v>2.5185</v>
      </c>
      <c r="N37" s="12">
        <f t="shared" si="12"/>
        <v>2.5185</v>
      </c>
      <c r="O37" s="12">
        <f t="shared" si="12"/>
        <v>2.5185</v>
      </c>
      <c r="P37" s="12">
        <f t="shared" si="12"/>
        <v>2.5185</v>
      </c>
      <c r="Q37" s="12">
        <v>1.5</v>
      </c>
      <c r="R37" s="12"/>
      <c r="S37" s="12"/>
      <c r="T37" s="12"/>
      <c r="U37" s="12"/>
      <c r="V37" s="12"/>
      <c r="X37" s="9"/>
      <c r="Y37" s="11"/>
    </row>
    <row r="38" spans="1:25" s="2" customFormat="1" ht="12.75">
      <c r="A38" s="31"/>
      <c r="B38" s="1" t="s">
        <v>30</v>
      </c>
      <c r="C38" s="149"/>
      <c r="D38" s="157">
        <f t="shared" si="12"/>
        <v>4.2</v>
      </c>
      <c r="E38" s="157">
        <f t="shared" si="12"/>
        <v>4.2</v>
      </c>
      <c r="F38" s="202">
        <f t="shared" si="12"/>
        <v>4.2</v>
      </c>
      <c r="G38" s="12">
        <f t="shared" si="12"/>
        <v>4.2</v>
      </c>
      <c r="H38" s="12">
        <f t="shared" si="12"/>
        <v>4.2</v>
      </c>
      <c r="I38" s="12">
        <f t="shared" si="12"/>
        <v>4.2</v>
      </c>
      <c r="J38" s="12">
        <f t="shared" si="12"/>
        <v>4.2</v>
      </c>
      <c r="K38" s="12">
        <f t="shared" si="12"/>
        <v>4.2</v>
      </c>
      <c r="L38" s="12">
        <f t="shared" si="12"/>
        <v>4.2</v>
      </c>
      <c r="M38" s="12">
        <f t="shared" si="12"/>
        <v>4.2</v>
      </c>
      <c r="N38" s="12">
        <f t="shared" si="12"/>
        <v>4.2</v>
      </c>
      <c r="O38" s="12">
        <f t="shared" si="12"/>
        <v>4.2</v>
      </c>
      <c r="P38" s="12">
        <f t="shared" si="12"/>
        <v>4.2</v>
      </c>
      <c r="Q38" s="12">
        <f>+P38*4</f>
        <v>16.8</v>
      </c>
      <c r="R38" s="12">
        <f>+Q38/6</f>
        <v>2.8000000000000003</v>
      </c>
      <c r="S38" s="12"/>
      <c r="T38" s="12"/>
      <c r="U38" s="12"/>
      <c r="V38" s="12"/>
      <c r="X38" s="9"/>
      <c r="Y38" s="11"/>
    </row>
    <row r="39" spans="1:25" s="2" customFormat="1" ht="12.75">
      <c r="A39" s="31"/>
      <c r="B39" s="1" t="s">
        <v>31</v>
      </c>
      <c r="C39" s="149"/>
      <c r="D39" s="157">
        <f t="shared" si="12"/>
        <v>1.769625</v>
      </c>
      <c r="E39" s="157">
        <f t="shared" si="12"/>
        <v>1.769625</v>
      </c>
      <c r="F39" s="202">
        <f t="shared" si="12"/>
        <v>1.769625</v>
      </c>
      <c r="G39" s="12">
        <f t="shared" si="12"/>
        <v>1.769625</v>
      </c>
      <c r="H39" s="12">
        <f t="shared" si="12"/>
        <v>1.769625</v>
      </c>
      <c r="I39" s="12">
        <f t="shared" si="12"/>
        <v>1.769625</v>
      </c>
      <c r="J39" s="12">
        <f t="shared" si="12"/>
        <v>1.769625</v>
      </c>
      <c r="K39" s="12">
        <f t="shared" si="12"/>
        <v>1.769625</v>
      </c>
      <c r="L39" s="12">
        <f t="shared" si="12"/>
        <v>1.769625</v>
      </c>
      <c r="M39" s="12">
        <f t="shared" si="12"/>
        <v>1.769625</v>
      </c>
      <c r="N39" s="12">
        <f t="shared" si="12"/>
        <v>1.769625</v>
      </c>
      <c r="O39" s="12">
        <f t="shared" si="12"/>
        <v>1.769625</v>
      </c>
      <c r="P39" s="12">
        <f t="shared" si="12"/>
        <v>1.769625</v>
      </c>
      <c r="Q39" s="12">
        <f>+P39*4</f>
        <v>7.0785</v>
      </c>
      <c r="R39" s="12">
        <f aca="true" t="shared" si="13" ref="R39:T41">+Q39</f>
        <v>7.0785</v>
      </c>
      <c r="S39" s="12">
        <f t="shared" si="13"/>
        <v>7.0785</v>
      </c>
      <c r="T39" s="12">
        <f t="shared" si="13"/>
        <v>7.0785</v>
      </c>
      <c r="U39" s="12">
        <f>+T39*0.9</f>
        <v>6.37065</v>
      </c>
      <c r="V39" s="12"/>
      <c r="X39" s="9"/>
      <c r="Y39" s="11"/>
    </row>
    <row r="40" spans="1:25" s="2" customFormat="1" ht="12.75">
      <c r="A40" s="31"/>
      <c r="B40" s="1" t="s">
        <v>32</v>
      </c>
      <c r="C40" s="149"/>
      <c r="D40" s="157">
        <f t="shared" si="12"/>
        <v>5.8125</v>
      </c>
      <c r="E40" s="157">
        <f t="shared" si="12"/>
        <v>5.8125</v>
      </c>
      <c r="F40" s="202">
        <f t="shared" si="12"/>
        <v>5.8125</v>
      </c>
      <c r="G40" s="12">
        <f t="shared" si="12"/>
        <v>5.8125</v>
      </c>
      <c r="H40" s="12">
        <f t="shared" si="12"/>
        <v>5.8125</v>
      </c>
      <c r="I40" s="12">
        <f t="shared" si="12"/>
        <v>5.8125</v>
      </c>
      <c r="J40" s="12">
        <f t="shared" si="12"/>
        <v>5.8125</v>
      </c>
      <c r="K40" s="12">
        <f t="shared" si="12"/>
        <v>5.8125</v>
      </c>
      <c r="L40" s="12">
        <f t="shared" si="12"/>
        <v>5.8125</v>
      </c>
      <c r="M40" s="12">
        <f t="shared" si="12"/>
        <v>5.8125</v>
      </c>
      <c r="N40" s="12">
        <f t="shared" si="12"/>
        <v>5.8125</v>
      </c>
      <c r="O40" s="12">
        <f t="shared" si="12"/>
        <v>5.8125</v>
      </c>
      <c r="P40" s="12">
        <f t="shared" si="12"/>
        <v>5.8125</v>
      </c>
      <c r="Q40" s="12">
        <f>+P40*4</f>
        <v>23.25</v>
      </c>
      <c r="R40" s="12">
        <f t="shared" si="13"/>
        <v>23.25</v>
      </c>
      <c r="S40" s="12">
        <f t="shared" si="13"/>
        <v>23.25</v>
      </c>
      <c r="T40" s="12">
        <f t="shared" si="13"/>
        <v>23.25</v>
      </c>
      <c r="U40" s="12">
        <f>+T40</f>
        <v>23.25</v>
      </c>
      <c r="V40" s="12">
        <f>+U40*0.25</f>
        <v>5.8125</v>
      </c>
      <c r="X40" s="9"/>
      <c r="Y40" s="11"/>
    </row>
    <row r="41" spans="1:25" s="2" customFormat="1" ht="12.75">
      <c r="A41" s="31"/>
      <c r="B41" s="1" t="s">
        <v>33</v>
      </c>
      <c r="C41" s="149"/>
      <c r="D41" s="157">
        <f t="shared" si="12"/>
        <v>0.265625</v>
      </c>
      <c r="E41" s="157">
        <f t="shared" si="12"/>
        <v>0.265625</v>
      </c>
      <c r="F41" s="202">
        <f t="shared" si="12"/>
        <v>0.265625</v>
      </c>
      <c r="G41" s="12">
        <f t="shared" si="12"/>
        <v>0.265625</v>
      </c>
      <c r="H41" s="12">
        <f t="shared" si="12"/>
        <v>0.265625</v>
      </c>
      <c r="I41" s="12">
        <f t="shared" si="12"/>
        <v>0.265625</v>
      </c>
      <c r="J41" s="12">
        <f t="shared" si="12"/>
        <v>0.265625</v>
      </c>
      <c r="K41" s="12">
        <f t="shared" si="12"/>
        <v>0.265625</v>
      </c>
      <c r="L41" s="12">
        <f t="shared" si="12"/>
        <v>0.265625</v>
      </c>
      <c r="M41" s="12">
        <f t="shared" si="12"/>
        <v>0.265625</v>
      </c>
      <c r="N41" s="12">
        <f t="shared" si="12"/>
        <v>0.265625</v>
      </c>
      <c r="O41" s="12">
        <f t="shared" si="12"/>
        <v>0.265625</v>
      </c>
      <c r="P41" s="12">
        <f t="shared" si="12"/>
        <v>0.265625</v>
      </c>
      <c r="Q41" s="12">
        <f>+P41*4</f>
        <v>1.0625</v>
      </c>
      <c r="R41" s="12">
        <f t="shared" si="13"/>
        <v>1.0625</v>
      </c>
      <c r="S41" s="12">
        <f t="shared" si="13"/>
        <v>1.0625</v>
      </c>
      <c r="T41" s="12">
        <f t="shared" si="13"/>
        <v>1.0625</v>
      </c>
      <c r="U41" s="12">
        <f>+T41</f>
        <v>1.0625</v>
      </c>
      <c r="V41" s="12">
        <f>+U41</f>
        <v>1.0625</v>
      </c>
      <c r="X41" s="9"/>
      <c r="Y41" s="11"/>
    </row>
    <row r="42" spans="1:25" s="2" customFormat="1" ht="12.75">
      <c r="A42" s="31"/>
      <c r="B42" s="19" t="s">
        <v>101</v>
      </c>
      <c r="C42" s="149"/>
      <c r="D42" s="157">
        <f>35.6-28.7</f>
        <v>6.900000000000002</v>
      </c>
      <c r="E42" s="157">
        <f>32.9-30</f>
        <v>2.8999999999999986</v>
      </c>
      <c r="F42" s="202">
        <v>-2.7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X42" s="9"/>
      <c r="Y42" s="11"/>
    </row>
    <row r="43" spans="1:25" s="2" customFormat="1" ht="12.75">
      <c r="A43" s="31"/>
      <c r="B43" s="19"/>
      <c r="C43" s="149"/>
      <c r="D43" s="157"/>
      <c r="E43" s="157"/>
      <c r="F43" s="20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43" s="9"/>
      <c r="Y43" s="11"/>
    </row>
    <row r="44" spans="1:25" s="2" customFormat="1" ht="12.75">
      <c r="A44" s="31" t="s">
        <v>119</v>
      </c>
      <c r="B44" s="19" t="s">
        <v>115</v>
      </c>
      <c r="C44" s="149"/>
      <c r="D44" s="157"/>
      <c r="E44" s="157">
        <v>1.9</v>
      </c>
      <c r="F44" s="202">
        <f>7.4-E44</f>
        <v>5.5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X44" s="9"/>
      <c r="Y44" s="11"/>
    </row>
    <row r="45" spans="1:25" s="2" customFormat="1" ht="12.75">
      <c r="A45" s="31"/>
      <c r="B45" s="25"/>
      <c r="C45" s="149"/>
      <c r="D45" s="157"/>
      <c r="E45" s="157"/>
      <c r="F45" s="20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X45" s="9"/>
      <c r="Y45" s="11"/>
    </row>
    <row r="46" spans="1:25" s="2" customFormat="1" ht="12.75">
      <c r="A46" s="31"/>
      <c r="B46" s="25" t="s">
        <v>117</v>
      </c>
      <c r="C46" s="149"/>
      <c r="D46" s="157">
        <v>27.3</v>
      </c>
      <c r="E46" s="192">
        <v>29.8</v>
      </c>
      <c r="F46" s="202">
        <f>+(125-$E$46)/3</f>
        <v>31.733333333333334</v>
      </c>
      <c r="G46" s="12">
        <f aca="true" t="shared" si="14" ref="G46:P46">+F46</f>
        <v>31.733333333333334</v>
      </c>
      <c r="H46" s="12">
        <f t="shared" si="14"/>
        <v>31.733333333333334</v>
      </c>
      <c r="I46" s="12">
        <v>35</v>
      </c>
      <c r="J46" s="12">
        <f t="shared" si="14"/>
        <v>35</v>
      </c>
      <c r="K46" s="12">
        <f t="shared" si="14"/>
        <v>35</v>
      </c>
      <c r="L46" s="12">
        <f t="shared" si="14"/>
        <v>35</v>
      </c>
      <c r="M46" s="12">
        <f t="shared" si="14"/>
        <v>35</v>
      </c>
      <c r="N46" s="12">
        <f t="shared" si="14"/>
        <v>35</v>
      </c>
      <c r="O46" s="12">
        <f t="shared" si="14"/>
        <v>35</v>
      </c>
      <c r="P46" s="12">
        <f t="shared" si="14"/>
        <v>35</v>
      </c>
      <c r="Q46" s="12">
        <f>+P46*4</f>
        <v>140</v>
      </c>
      <c r="R46" s="12">
        <f>+Q46</f>
        <v>140</v>
      </c>
      <c r="S46" s="12">
        <f>+R46</f>
        <v>140</v>
      </c>
      <c r="T46" s="12">
        <f>+S46</f>
        <v>140</v>
      </c>
      <c r="U46" s="12">
        <f>+T46</f>
        <v>140</v>
      </c>
      <c r="V46" s="12">
        <f>+U46</f>
        <v>140</v>
      </c>
      <c r="X46" s="9"/>
      <c r="Y46" s="11"/>
    </row>
    <row r="47" spans="1:25" s="2" customFormat="1" ht="12.75">
      <c r="A47" s="31"/>
      <c r="C47" s="149"/>
      <c r="D47" s="157"/>
      <c r="E47" s="157"/>
      <c r="F47" s="20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X47" s="9"/>
      <c r="Y47" s="11"/>
    </row>
    <row r="48" spans="1:25" s="2" customFormat="1" ht="12.75">
      <c r="A48" s="31"/>
      <c r="B48" s="25" t="s">
        <v>71</v>
      </c>
      <c r="C48" s="149"/>
      <c r="D48" s="157">
        <v>14.7</v>
      </c>
      <c r="E48" s="157">
        <v>8.2</v>
      </c>
      <c r="F48" s="202">
        <f>16.9-E48</f>
        <v>8.7</v>
      </c>
      <c r="G48" s="12">
        <f aca="true" t="shared" si="15" ref="G48:P48">+F48</f>
        <v>8.7</v>
      </c>
      <c r="H48" s="12">
        <f t="shared" si="15"/>
        <v>8.7</v>
      </c>
      <c r="I48" s="12">
        <f t="shared" si="15"/>
        <v>8.7</v>
      </c>
      <c r="J48" s="12">
        <f t="shared" si="15"/>
        <v>8.7</v>
      </c>
      <c r="K48" s="12">
        <f t="shared" si="15"/>
        <v>8.7</v>
      </c>
      <c r="L48" s="12">
        <f t="shared" si="15"/>
        <v>8.7</v>
      </c>
      <c r="M48" s="12">
        <f t="shared" si="15"/>
        <v>8.7</v>
      </c>
      <c r="N48" s="12">
        <f t="shared" si="15"/>
        <v>8.7</v>
      </c>
      <c r="O48" s="12">
        <f t="shared" si="15"/>
        <v>8.7</v>
      </c>
      <c r="P48" s="12">
        <f t="shared" si="15"/>
        <v>8.7</v>
      </c>
      <c r="Q48" s="12">
        <f>+P48*4</f>
        <v>34.8</v>
      </c>
      <c r="R48" s="12">
        <f>+Q48</f>
        <v>34.8</v>
      </c>
      <c r="S48" s="12">
        <f>+R48</f>
        <v>34.8</v>
      </c>
      <c r="T48" s="12">
        <f>+S48</f>
        <v>34.8</v>
      </c>
      <c r="U48" s="12">
        <f>+T48</f>
        <v>34.8</v>
      </c>
      <c r="V48" s="12">
        <f>+U48</f>
        <v>34.8</v>
      </c>
      <c r="X48" s="9"/>
      <c r="Y48" s="11"/>
    </row>
    <row r="49" spans="1:25" s="2" customFormat="1" ht="12.75">
      <c r="A49" s="31" t="s">
        <v>119</v>
      </c>
      <c r="B49" s="25" t="s">
        <v>116</v>
      </c>
      <c r="C49" s="149"/>
      <c r="D49" s="157">
        <v>0</v>
      </c>
      <c r="E49" s="157">
        <v>13.036</v>
      </c>
      <c r="F49" s="202">
        <v>0</v>
      </c>
      <c r="G49" s="12">
        <v>0</v>
      </c>
      <c r="H49" s="12">
        <v>0</v>
      </c>
      <c r="I49" s="27">
        <v>13</v>
      </c>
      <c r="J49" s="12">
        <v>0</v>
      </c>
      <c r="K49" s="12">
        <v>0</v>
      </c>
      <c r="L49" s="12">
        <v>0</v>
      </c>
      <c r="M49" s="27">
        <v>13</v>
      </c>
      <c r="N49" s="12">
        <v>0</v>
      </c>
      <c r="O49" s="12">
        <v>0</v>
      </c>
      <c r="P49" s="12">
        <v>0</v>
      </c>
      <c r="Q49" s="27">
        <v>13</v>
      </c>
      <c r="R49" s="27">
        <v>13</v>
      </c>
      <c r="S49" s="12">
        <v>0</v>
      </c>
      <c r="T49" s="12">
        <v>0</v>
      </c>
      <c r="U49" s="12">
        <v>0</v>
      </c>
      <c r="V49" s="12">
        <v>0</v>
      </c>
      <c r="X49" s="9"/>
      <c r="Y49" s="11"/>
    </row>
    <row r="50" spans="1:25" s="2" customFormat="1" ht="12.75">
      <c r="A50" s="31" t="s">
        <v>119</v>
      </c>
      <c r="B50" s="25" t="s">
        <v>118</v>
      </c>
      <c r="C50" s="149"/>
      <c r="D50" s="157"/>
      <c r="E50" s="157">
        <f>42.736+(315.3-310.1)</f>
        <v>47.935999999999986</v>
      </c>
      <c r="F50" s="202">
        <f>30.4-E50-0.7</f>
        <v>-18.235999999999986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X50" s="9"/>
      <c r="Y50" s="11"/>
    </row>
    <row r="51" spans="1:25" s="2" customFormat="1" ht="12.75">
      <c r="A51" s="31"/>
      <c r="C51" s="149"/>
      <c r="D51" s="157"/>
      <c r="E51" s="157"/>
      <c r="F51" s="20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X51" s="9"/>
      <c r="Y51" s="11"/>
    </row>
    <row r="52" spans="1:25" s="2" customFormat="1" ht="12.75">
      <c r="A52" s="31"/>
      <c r="B52" s="25" t="s">
        <v>102</v>
      </c>
      <c r="C52" s="149"/>
      <c r="D52" s="157">
        <v>2.9</v>
      </c>
      <c r="E52" s="157">
        <v>0</v>
      </c>
      <c r="F52" s="20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X52" s="9"/>
      <c r="Y52" s="11"/>
    </row>
    <row r="53" spans="1:25" s="2" customFormat="1" ht="12.75">
      <c r="A53" s="31"/>
      <c r="B53" s="2" t="s">
        <v>103</v>
      </c>
      <c r="C53" s="149"/>
      <c r="D53" s="157">
        <v>0.5</v>
      </c>
      <c r="E53" s="157"/>
      <c r="F53" s="20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X53" s="9"/>
      <c r="Y53" s="11"/>
    </row>
    <row r="54" spans="1:25" s="2" customFormat="1" ht="12.75">
      <c r="A54" s="31"/>
      <c r="B54" s="25" t="s">
        <v>19</v>
      </c>
      <c r="C54" s="150" t="s">
        <v>107</v>
      </c>
      <c r="D54" s="157">
        <v>10</v>
      </c>
      <c r="E54" s="157">
        <v>0</v>
      </c>
      <c r="F54" s="202">
        <v>0</v>
      </c>
      <c r="G54" s="12">
        <f aca="true" t="shared" si="16" ref="G54:P54">+F54</f>
        <v>0</v>
      </c>
      <c r="H54" s="12">
        <f t="shared" si="16"/>
        <v>0</v>
      </c>
      <c r="I54" s="12">
        <f t="shared" si="16"/>
        <v>0</v>
      </c>
      <c r="J54" s="12">
        <f t="shared" si="16"/>
        <v>0</v>
      </c>
      <c r="K54" s="12">
        <f t="shared" si="16"/>
        <v>0</v>
      </c>
      <c r="L54" s="12">
        <f t="shared" si="16"/>
        <v>0</v>
      </c>
      <c r="M54" s="12">
        <f t="shared" si="16"/>
        <v>0</v>
      </c>
      <c r="N54" s="12">
        <f t="shared" si="16"/>
        <v>0</v>
      </c>
      <c r="O54" s="12">
        <f t="shared" si="16"/>
        <v>0</v>
      </c>
      <c r="P54" s="12">
        <f t="shared" si="16"/>
        <v>0</v>
      </c>
      <c r="Q54" s="12">
        <f>+P54*4</f>
        <v>0</v>
      </c>
      <c r="R54" s="12">
        <f>+Q54</f>
        <v>0</v>
      </c>
      <c r="S54" s="12">
        <f>+R54</f>
        <v>0</v>
      </c>
      <c r="T54" s="12">
        <f>+S54</f>
        <v>0</v>
      </c>
      <c r="U54" s="12">
        <f>+T54</f>
        <v>0</v>
      </c>
      <c r="V54" s="12">
        <f>+U54</f>
        <v>0</v>
      </c>
      <c r="X54" s="9"/>
      <c r="Y54" s="11"/>
    </row>
    <row r="55" spans="1:25" s="2" customFormat="1" ht="12.75">
      <c r="A55" s="31"/>
      <c r="C55" s="150"/>
      <c r="D55" s="157"/>
      <c r="E55" s="157"/>
      <c r="F55" s="21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X55" s="9"/>
      <c r="Y55" s="11"/>
    </row>
    <row r="56" spans="1:25" s="26" customFormat="1" ht="12.75">
      <c r="A56" s="32" t="s">
        <v>40</v>
      </c>
      <c r="B56" s="25" t="s">
        <v>21</v>
      </c>
      <c r="C56" s="151"/>
      <c r="D56" s="38">
        <f>SUM(D28:D55)</f>
        <v>90.9595</v>
      </c>
      <c r="E56" s="38">
        <f>SUM(E28:E55)</f>
        <v>133.8055</v>
      </c>
      <c r="F56" s="207">
        <f aca="true" t="shared" si="17" ref="F56:R56">SUM(F28:F55)</f>
        <v>54.743333333333354</v>
      </c>
      <c r="G56" s="27">
        <f t="shared" si="17"/>
        <v>69.89183333333334</v>
      </c>
      <c r="H56" s="27">
        <f t="shared" si="17"/>
        <v>69.60433333333333</v>
      </c>
      <c r="I56" s="27">
        <f t="shared" si="17"/>
        <v>84.269</v>
      </c>
      <c r="J56" s="27">
        <f t="shared" si="17"/>
        <v>69.03450000000001</v>
      </c>
      <c r="K56" s="27">
        <f t="shared" si="17"/>
        <v>66.922</v>
      </c>
      <c r="L56" s="27">
        <f t="shared" si="17"/>
        <v>64.947</v>
      </c>
      <c r="M56" s="27">
        <f t="shared" si="17"/>
        <v>76.556375</v>
      </c>
      <c r="N56" s="27">
        <f t="shared" si="17"/>
        <v>59.916250000000005</v>
      </c>
      <c r="O56" s="27">
        <f t="shared" si="17"/>
        <v>59.916250000000005</v>
      </c>
      <c r="P56" s="27">
        <f t="shared" si="17"/>
        <v>59.916250000000005</v>
      </c>
      <c r="Q56" s="27">
        <f t="shared" si="17"/>
        <v>237.49099999999999</v>
      </c>
      <c r="R56" s="27">
        <f t="shared" si="17"/>
        <v>221.99099999999999</v>
      </c>
      <c r="S56" s="27">
        <f>SUM(S28:S55)</f>
        <v>206.19099999999997</v>
      </c>
      <c r="T56" s="27">
        <f>SUM(T28:T55)</f>
        <v>206.19099999999997</v>
      </c>
      <c r="U56" s="27">
        <f>SUM(U28:U55)</f>
        <v>205.48315000000002</v>
      </c>
      <c r="V56" s="27">
        <f>SUM(V28:V55)</f>
        <v>181.675</v>
      </c>
      <c r="X56" s="28"/>
      <c r="Y56" s="29"/>
    </row>
    <row r="57" spans="1:25" s="26" customFormat="1" ht="12.75">
      <c r="A57" s="32"/>
      <c r="B57" s="25"/>
      <c r="C57" s="151"/>
      <c r="D57" s="38"/>
      <c r="E57" s="38"/>
      <c r="F57" s="20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X57" s="28"/>
      <c r="Y57" s="29"/>
    </row>
    <row r="58" spans="1:25" s="26" customFormat="1" ht="12.75">
      <c r="A58" s="32"/>
      <c r="B58" s="3" t="s">
        <v>35</v>
      </c>
      <c r="C58" s="145"/>
      <c r="D58" s="157">
        <v>52</v>
      </c>
      <c r="E58" s="38"/>
      <c r="F58" s="20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X58" s="28"/>
      <c r="Y58" s="29"/>
    </row>
    <row r="59" spans="1:25" s="2" customFormat="1" ht="12.75">
      <c r="A59" s="31"/>
      <c r="B59" s="3" t="s">
        <v>54</v>
      </c>
      <c r="C59" s="145"/>
      <c r="D59" s="157">
        <v>72</v>
      </c>
      <c r="E59" s="157"/>
      <c r="F59" s="21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X59" s="9"/>
      <c r="Y59" s="11"/>
    </row>
    <row r="60" spans="1:25" s="26" customFormat="1" ht="13.5" thickBot="1">
      <c r="A60" s="32" t="s">
        <v>41</v>
      </c>
      <c r="B60" s="25" t="s">
        <v>43</v>
      </c>
      <c r="C60" s="152" t="s">
        <v>44</v>
      </c>
      <c r="D60" s="33">
        <f>+D23-D56+D59+D58</f>
        <v>180.15050000000002</v>
      </c>
      <c r="E60" s="33">
        <f aca="true" t="shared" si="18" ref="E60:V60">+E23-E56</f>
        <v>12.194500000000005</v>
      </c>
      <c r="F60" s="211">
        <f t="shared" si="18"/>
        <v>90.45666666666664</v>
      </c>
      <c r="G60" s="33">
        <f t="shared" si="18"/>
        <v>69.33220266666667</v>
      </c>
      <c r="H60" s="33">
        <f t="shared" si="18"/>
        <v>65.03423750866668</v>
      </c>
      <c r="I60" s="33">
        <f t="shared" si="18"/>
        <v>46.94007254757702</v>
      </c>
      <c r="J60" s="33">
        <f t="shared" si="18"/>
        <v>58.130186103715204</v>
      </c>
      <c r="K60" s="33">
        <f t="shared" si="18"/>
        <v>56.46980826765406</v>
      </c>
      <c r="L60" s="33">
        <f t="shared" si="18"/>
        <v>55.68237003403104</v>
      </c>
      <c r="M60" s="33">
        <f t="shared" si="18"/>
        <v>41.492107112615884</v>
      </c>
      <c r="N60" s="33">
        <f t="shared" si="18"/>
        <v>55.72625635784486</v>
      </c>
      <c r="O60" s="33">
        <f t="shared" si="18"/>
        <v>53.48887707909287</v>
      </c>
      <c r="P60" s="33">
        <f t="shared" si="18"/>
        <v>51.41408753612835</v>
      </c>
      <c r="Q60" s="142">
        <f t="shared" si="18"/>
        <v>207.83035014451343</v>
      </c>
      <c r="R60" s="142">
        <f t="shared" si="18"/>
        <v>210.31785035258963</v>
      </c>
      <c r="S60" s="142">
        <f t="shared" si="18"/>
        <v>234.43159710001095</v>
      </c>
      <c r="T60" s="142">
        <f t="shared" si="18"/>
        <v>259.82152848507616</v>
      </c>
      <c r="U60" s="142">
        <f t="shared" si="18"/>
        <v>301.4300438046328</v>
      </c>
      <c r="V60" s="142">
        <f t="shared" si="18"/>
        <v>372.273958922123</v>
      </c>
      <c r="X60" s="28"/>
      <c r="Y60" s="29"/>
    </row>
    <row r="61" spans="1:25" s="26" customFormat="1" ht="13.5" thickTop="1">
      <c r="A61" s="32"/>
      <c r="B61" s="25"/>
      <c r="C61" s="152"/>
      <c r="D61" s="38"/>
      <c r="E61" s="38"/>
      <c r="F61" s="207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X61" s="28"/>
      <c r="Y61" s="29"/>
    </row>
    <row r="62" spans="1:25" s="26" customFormat="1" ht="12.75">
      <c r="A62" s="32"/>
      <c r="B62" s="25"/>
      <c r="C62" s="152"/>
      <c r="D62" s="38"/>
      <c r="E62" s="38"/>
      <c r="F62" s="207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X62" s="28"/>
      <c r="Y62" s="29"/>
    </row>
    <row r="63" spans="1:25" s="26" customFormat="1" ht="12.75">
      <c r="A63" s="32"/>
      <c r="B63" s="25"/>
      <c r="C63" s="152"/>
      <c r="D63" s="38"/>
      <c r="E63" s="38"/>
      <c r="F63" s="20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X63" s="28"/>
      <c r="Y63" s="29"/>
    </row>
    <row r="64" spans="1:25" s="26" customFormat="1" ht="12.75">
      <c r="A64" s="32"/>
      <c r="B64" s="25"/>
      <c r="C64" s="152"/>
      <c r="D64" s="38"/>
      <c r="E64" s="38"/>
      <c r="F64" s="207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X64" s="28"/>
      <c r="Y64" s="29"/>
    </row>
    <row r="65" spans="1:25" s="2" customFormat="1" ht="12.75">
      <c r="A65" s="31"/>
      <c r="B65" s="3"/>
      <c r="C65" s="145"/>
      <c r="D65" s="157"/>
      <c r="E65" s="157"/>
      <c r="F65" s="20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X65" s="39" t="s">
        <v>55</v>
      </c>
      <c r="Y65" s="40" t="s">
        <v>49</v>
      </c>
    </row>
    <row r="66" spans="2:25" ht="12.75">
      <c r="B66" s="54" t="s">
        <v>22</v>
      </c>
      <c r="C66" s="4"/>
      <c r="D66" s="158"/>
      <c r="E66" s="193"/>
      <c r="F66" s="212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X66" s="41" t="s">
        <v>22</v>
      </c>
      <c r="Y66" s="42" t="s">
        <v>48</v>
      </c>
    </row>
    <row r="67" spans="1:25" ht="12.75">
      <c r="A67" s="17" t="s">
        <v>42</v>
      </c>
      <c r="B67" s="1" t="s">
        <v>87</v>
      </c>
      <c r="C67" s="153">
        <v>250</v>
      </c>
      <c r="D67" s="158">
        <v>45</v>
      </c>
      <c r="E67" s="193">
        <v>25</v>
      </c>
      <c r="F67" s="212">
        <v>25</v>
      </c>
      <c r="G67" s="14">
        <v>25</v>
      </c>
      <c r="H67" s="14">
        <v>25</v>
      </c>
      <c r="I67" s="14">
        <f>250-(+D67+E67+F67+G67+H67)</f>
        <v>105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X67" s="10">
        <f>+C67-D67-E67</f>
        <v>180</v>
      </c>
      <c r="Y67" s="5">
        <f>+X67*0.044</f>
        <v>7.92</v>
      </c>
    </row>
    <row r="68" spans="1:25" ht="12.75">
      <c r="A68" s="17" t="s">
        <v>42</v>
      </c>
      <c r="B68" s="1" t="s">
        <v>88</v>
      </c>
      <c r="C68" s="153">
        <v>16</v>
      </c>
      <c r="D68" s="158">
        <v>16</v>
      </c>
      <c r="E68" s="194">
        <v>-239</v>
      </c>
      <c r="F68" s="212"/>
      <c r="G68" s="14"/>
      <c r="H68" s="14"/>
      <c r="I68" s="36">
        <v>239</v>
      </c>
      <c r="J68" s="14"/>
      <c r="K68" s="14"/>
      <c r="L68" s="14"/>
      <c r="M68" s="143">
        <v>-150</v>
      </c>
      <c r="N68" s="14"/>
      <c r="O68" s="14"/>
      <c r="P68" s="143">
        <v>150</v>
      </c>
      <c r="Q68" s="14"/>
      <c r="R68" s="14"/>
      <c r="S68" s="14"/>
      <c r="T68" s="14"/>
      <c r="U68" s="14"/>
      <c r="V68" s="14"/>
      <c r="X68" s="10">
        <v>239</v>
      </c>
      <c r="Y68" s="5">
        <f>+X68*0.044</f>
        <v>10.516</v>
      </c>
    </row>
    <row r="69" spans="1:24" ht="12.75">
      <c r="A69" s="17" t="s">
        <v>42</v>
      </c>
      <c r="B69" s="1" t="s">
        <v>25</v>
      </c>
      <c r="C69" s="153">
        <v>35</v>
      </c>
      <c r="D69" s="158">
        <v>35</v>
      </c>
      <c r="E69" s="193"/>
      <c r="F69" s="212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X69" s="10">
        <f>+C69-D69</f>
        <v>0</v>
      </c>
    </row>
    <row r="70" spans="1:22" ht="12.75">
      <c r="A70" s="17"/>
      <c r="B70" s="1" t="s">
        <v>114</v>
      </c>
      <c r="C70" s="153"/>
      <c r="D70" s="158"/>
      <c r="E70" s="193">
        <v>0.3</v>
      </c>
      <c r="F70" s="212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5" ht="12.75">
      <c r="A71" s="17" t="s">
        <v>42</v>
      </c>
      <c r="B71" s="102" t="s">
        <v>34</v>
      </c>
      <c r="C71" s="154">
        <f>+X71</f>
        <v>184</v>
      </c>
      <c r="D71" s="158"/>
      <c r="E71" s="193"/>
      <c r="F71" s="212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>
        <v>184</v>
      </c>
      <c r="T71" s="14"/>
      <c r="U71" s="14"/>
      <c r="V71" s="14"/>
      <c r="X71" s="10">
        <f aca="true" t="shared" si="19" ref="X71:X80">SUM(D71:W71)</f>
        <v>184</v>
      </c>
      <c r="Y71" s="5">
        <f>+X71*0.0625</f>
        <v>11.5</v>
      </c>
    </row>
    <row r="72" spans="1:22" ht="12.75">
      <c r="A72" s="17" t="s">
        <v>42</v>
      </c>
      <c r="B72" s="19" t="s">
        <v>14</v>
      </c>
      <c r="C72" s="153"/>
      <c r="D72" s="158"/>
      <c r="E72" s="193"/>
      <c r="F72" s="212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5" ht="12.75">
      <c r="A73" s="17" t="s">
        <v>42</v>
      </c>
      <c r="B73" s="7" t="s">
        <v>27</v>
      </c>
      <c r="C73" s="154">
        <v>130</v>
      </c>
      <c r="D73" s="158"/>
      <c r="E73" s="193"/>
      <c r="F73" s="212"/>
      <c r="G73" s="14"/>
      <c r="H73" s="14"/>
      <c r="I73" s="14"/>
      <c r="J73" s="14"/>
      <c r="K73" s="14">
        <v>130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X73" s="10">
        <f t="shared" si="19"/>
        <v>130</v>
      </c>
      <c r="Y73" s="5">
        <f>+X73*0.065</f>
        <v>8.450000000000001</v>
      </c>
    </row>
    <row r="74" spans="1:25" ht="12.75">
      <c r="A74" s="17" t="s">
        <v>42</v>
      </c>
      <c r="B74" s="1" t="s">
        <v>26</v>
      </c>
      <c r="C74" s="154">
        <v>125</v>
      </c>
      <c r="D74" s="158"/>
      <c r="E74" s="193"/>
      <c r="F74" s="212"/>
      <c r="G74" s="14"/>
      <c r="H74" s="14"/>
      <c r="I74" s="14"/>
      <c r="J74" s="14"/>
      <c r="K74" s="14"/>
      <c r="L74" s="14">
        <v>125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X74" s="10">
        <f t="shared" si="19"/>
        <v>125</v>
      </c>
      <c r="Y74" s="5">
        <f>+X74*0.0685</f>
        <v>8.5625</v>
      </c>
    </row>
    <row r="75" spans="1:25" ht="12.75">
      <c r="A75" s="17" t="s">
        <v>42</v>
      </c>
      <c r="B75" s="1" t="s">
        <v>28</v>
      </c>
      <c r="C75" s="154">
        <v>255</v>
      </c>
      <c r="D75" s="158"/>
      <c r="E75" s="193"/>
      <c r="F75" s="212"/>
      <c r="G75" s="14"/>
      <c r="H75" s="14"/>
      <c r="I75" s="14"/>
      <c r="J75" s="14"/>
      <c r="K75" s="14"/>
      <c r="L75" s="14"/>
      <c r="M75" s="14"/>
      <c r="N75" s="14">
        <v>255</v>
      </c>
      <c r="O75" s="14"/>
      <c r="P75" s="14"/>
      <c r="Q75" s="14"/>
      <c r="R75" s="14"/>
      <c r="S75" s="14"/>
      <c r="T75" s="14"/>
      <c r="U75" s="14"/>
      <c r="V75" s="14"/>
      <c r="X75" s="10">
        <f t="shared" si="19"/>
        <v>255</v>
      </c>
      <c r="Y75" s="5">
        <f>+X75*0.0571</f>
        <v>14.5605</v>
      </c>
    </row>
    <row r="76" spans="1:25" ht="12.75">
      <c r="A76" s="17" t="s">
        <v>42</v>
      </c>
      <c r="B76" s="1" t="s">
        <v>29</v>
      </c>
      <c r="C76" s="154">
        <v>138</v>
      </c>
      <c r="D76" s="158"/>
      <c r="E76" s="193"/>
      <c r="F76" s="212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>
        <v>138</v>
      </c>
      <c r="R76" s="14"/>
      <c r="S76" s="14"/>
      <c r="T76" s="14"/>
      <c r="U76" s="14"/>
      <c r="V76" s="14"/>
      <c r="X76" s="10">
        <f t="shared" si="19"/>
        <v>138</v>
      </c>
      <c r="Y76" s="5">
        <f>+X76*0.073</f>
        <v>10.074</v>
      </c>
    </row>
    <row r="77" spans="1:25" ht="12.75">
      <c r="A77" s="17" t="s">
        <v>42</v>
      </c>
      <c r="B77" s="1" t="s">
        <v>30</v>
      </c>
      <c r="C77" s="154">
        <v>320</v>
      </c>
      <c r="D77" s="158"/>
      <c r="E77" s="193"/>
      <c r="F77" s="212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>
        <v>320</v>
      </c>
      <c r="S77" s="14"/>
      <c r="T77" s="14"/>
      <c r="U77" s="14"/>
      <c r="V77" s="14"/>
      <c r="X77" s="10">
        <f t="shared" si="19"/>
        <v>320</v>
      </c>
      <c r="Y77" s="5">
        <f>+X77*0.0525</f>
        <v>16.8</v>
      </c>
    </row>
    <row r="78" spans="1:25" ht="12.75">
      <c r="A78" s="17" t="s">
        <v>42</v>
      </c>
      <c r="B78" s="1" t="s">
        <v>31</v>
      </c>
      <c r="C78" s="154">
        <v>121</v>
      </c>
      <c r="D78" s="158"/>
      <c r="E78" s="193"/>
      <c r="F78" s="212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121</v>
      </c>
      <c r="V78" s="14"/>
      <c r="X78" s="10">
        <f t="shared" si="19"/>
        <v>121</v>
      </c>
      <c r="Y78" s="5">
        <f>+X78*0.0585</f>
        <v>7.0785</v>
      </c>
    </row>
    <row r="79" spans="1:25" ht="12.75">
      <c r="A79" s="17" t="s">
        <v>42</v>
      </c>
      <c r="B79" s="1" t="s">
        <v>32</v>
      </c>
      <c r="C79" s="154">
        <v>300</v>
      </c>
      <c r="D79" s="158"/>
      <c r="E79" s="193"/>
      <c r="F79" s="212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>
        <v>300</v>
      </c>
      <c r="X79" s="10">
        <f t="shared" si="19"/>
        <v>300</v>
      </c>
      <c r="Y79" s="5">
        <f>+X79*0.0775</f>
        <v>23.25</v>
      </c>
    </row>
    <row r="80" spans="1:25" ht="12.75">
      <c r="A80" s="17" t="s">
        <v>42</v>
      </c>
      <c r="B80" s="1" t="s">
        <v>33</v>
      </c>
      <c r="C80" s="154">
        <v>17</v>
      </c>
      <c r="D80" s="158"/>
      <c r="E80" s="193"/>
      <c r="F80" s="212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v>17</v>
      </c>
      <c r="X80" s="10">
        <f t="shared" si="19"/>
        <v>17</v>
      </c>
      <c r="Y80" s="5">
        <f>+X80*0.0625</f>
        <v>1.0625</v>
      </c>
    </row>
    <row r="81" spans="2:22" ht="12.75">
      <c r="B81" s="19" t="s">
        <v>69</v>
      </c>
      <c r="C81" s="35">
        <f>SUM(C67:C80)</f>
        <v>1891</v>
      </c>
      <c r="D81" s="158"/>
      <c r="E81" s="193"/>
      <c r="F81" s="212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5" s="16" customFormat="1" ht="13.5" thickBot="1">
      <c r="A82" s="17" t="s">
        <v>45</v>
      </c>
      <c r="B82" s="16" t="s">
        <v>53</v>
      </c>
      <c r="C82" s="155" t="s">
        <v>51</v>
      </c>
      <c r="D82" s="118">
        <f aca="true" t="shared" si="20" ref="D82:R82">-SUM(D65:D81)+D60</f>
        <v>84.15050000000002</v>
      </c>
      <c r="E82" s="195">
        <f t="shared" si="20"/>
        <v>225.8945</v>
      </c>
      <c r="F82" s="213">
        <f t="shared" si="20"/>
        <v>65.45666666666664</v>
      </c>
      <c r="G82" s="118">
        <f t="shared" si="20"/>
        <v>44.332202666666674</v>
      </c>
      <c r="H82" s="118">
        <f t="shared" si="20"/>
        <v>40.03423750866668</v>
      </c>
      <c r="I82" s="118">
        <f t="shared" si="20"/>
        <v>-297.059927452423</v>
      </c>
      <c r="J82" s="118">
        <f t="shared" si="20"/>
        <v>58.130186103715204</v>
      </c>
      <c r="K82" s="118">
        <f t="shared" si="20"/>
        <v>-73.53019173234594</v>
      </c>
      <c r="L82" s="118">
        <f t="shared" si="20"/>
        <v>-69.31762996596896</v>
      </c>
      <c r="M82" s="118">
        <f t="shared" si="20"/>
        <v>191.49210711261588</v>
      </c>
      <c r="N82" s="118">
        <f t="shared" si="20"/>
        <v>-199.27374364215513</v>
      </c>
      <c r="O82" s="118">
        <f t="shared" si="20"/>
        <v>53.48887707909287</v>
      </c>
      <c r="P82" s="118">
        <f t="shared" si="20"/>
        <v>-98.58591246387165</v>
      </c>
      <c r="Q82" s="118">
        <f t="shared" si="20"/>
        <v>69.83035014451343</v>
      </c>
      <c r="R82" s="118">
        <f t="shared" si="20"/>
        <v>-109.68214964741037</v>
      </c>
      <c r="S82" s="118">
        <f>-SUM(S65:S81)+S60</f>
        <v>50.43159710001095</v>
      </c>
      <c r="T82" s="118">
        <f>-SUM(T65:T81)+T60</f>
        <v>259.82152848507616</v>
      </c>
      <c r="U82" s="118">
        <f>-SUM(U65:U81)+U60</f>
        <v>180.43004380463282</v>
      </c>
      <c r="V82" s="118">
        <f>-SUM(V65:V81)+V60</f>
        <v>55.27395892212297</v>
      </c>
      <c r="W82" s="35"/>
      <c r="X82" s="57">
        <f>SUM(X65:X81)</f>
        <v>2009</v>
      </c>
      <c r="Y82" s="57">
        <f>SUM(Y65:Y81)</f>
        <v>119.774</v>
      </c>
    </row>
    <row r="83" spans="3:23" ht="14.25" thickBot="1" thickTop="1">
      <c r="C83" s="4"/>
      <c r="D83" s="158"/>
      <c r="E83" s="193"/>
      <c r="F83" s="212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4"/>
    </row>
    <row r="84" spans="1:25" s="16" customFormat="1" ht="13.5" thickBot="1">
      <c r="A84" s="115" t="s">
        <v>52</v>
      </c>
      <c r="B84" s="116" t="s">
        <v>23</v>
      </c>
      <c r="C84" s="156"/>
      <c r="D84" s="140">
        <f>+D82</f>
        <v>84.15050000000002</v>
      </c>
      <c r="E84" s="140">
        <f>+D84+E82</f>
        <v>310.045</v>
      </c>
      <c r="F84" s="214">
        <f aca="true" t="shared" si="21" ref="F84:R84">+E84+F82</f>
        <v>375.50166666666667</v>
      </c>
      <c r="G84" s="120">
        <f t="shared" si="21"/>
        <v>419.8338693333333</v>
      </c>
      <c r="H84" s="120">
        <f t="shared" si="21"/>
        <v>459.868106842</v>
      </c>
      <c r="I84" s="120">
        <f t="shared" si="21"/>
        <v>162.808179389577</v>
      </c>
      <c r="J84" s="120">
        <f t="shared" si="21"/>
        <v>220.9383654932922</v>
      </c>
      <c r="K84" s="120">
        <f t="shared" si="21"/>
        <v>147.40817376094626</v>
      </c>
      <c r="L84" s="121">
        <f t="shared" si="21"/>
        <v>78.0905437949773</v>
      </c>
      <c r="M84" s="120">
        <f t="shared" si="21"/>
        <v>269.5826509075932</v>
      </c>
      <c r="N84" s="121">
        <f t="shared" si="21"/>
        <v>70.30890726543805</v>
      </c>
      <c r="O84" s="120">
        <f t="shared" si="21"/>
        <v>123.79778434453092</v>
      </c>
      <c r="P84" s="120">
        <f t="shared" si="21"/>
        <v>25.211871880659274</v>
      </c>
      <c r="Q84" s="120">
        <f t="shared" si="21"/>
        <v>95.0422220251727</v>
      </c>
      <c r="R84" s="121">
        <f t="shared" si="21"/>
        <v>-14.639927622237664</v>
      </c>
      <c r="S84" s="140">
        <f>+R84+S82</f>
        <v>35.79166947777328</v>
      </c>
      <c r="T84" s="140">
        <f>+S84+T82</f>
        <v>295.6131979628494</v>
      </c>
      <c r="U84" s="140">
        <f>+T84+U82</f>
        <v>476.04324176748224</v>
      </c>
      <c r="V84" s="140">
        <f>+U84+V82</f>
        <v>531.3172006896052</v>
      </c>
      <c r="W84" s="35"/>
      <c r="X84" s="37"/>
      <c r="Y84" s="18"/>
    </row>
    <row r="85" spans="1:25" s="176" customFormat="1" ht="12.75">
      <c r="A85" s="32"/>
      <c r="C85" s="216"/>
      <c r="D85" s="215"/>
      <c r="E85" s="215"/>
      <c r="F85" s="215"/>
      <c r="G85" s="217"/>
      <c r="H85" s="217"/>
      <c r="I85" s="217"/>
      <c r="J85" s="217"/>
      <c r="K85" s="217"/>
      <c r="L85" s="215"/>
      <c r="M85" s="217"/>
      <c r="N85" s="215"/>
      <c r="O85" s="217"/>
      <c r="P85" s="217"/>
      <c r="Q85" s="217"/>
      <c r="R85" s="215"/>
      <c r="S85" s="215"/>
      <c r="T85" s="215"/>
      <c r="U85" s="215"/>
      <c r="V85" s="215"/>
      <c r="W85" s="216"/>
      <c r="X85" s="218"/>
      <c r="Y85" s="219"/>
    </row>
    <row r="86" spans="1:25" s="220" customFormat="1" ht="15.75">
      <c r="A86" s="221"/>
      <c r="B86" s="223" t="s">
        <v>128</v>
      </c>
      <c r="C86" s="224"/>
      <c r="D86" s="224">
        <f>-SUM(D66:D80)</f>
        <v>-96</v>
      </c>
      <c r="E86" s="224">
        <f aca="true" t="shared" si="22" ref="E86:V86">-SUM(E66:E80)</f>
        <v>213.7</v>
      </c>
      <c r="F86" s="224">
        <f t="shared" si="22"/>
        <v>-25</v>
      </c>
      <c r="G86" s="224">
        <f t="shared" si="22"/>
        <v>-25</v>
      </c>
      <c r="H86" s="224">
        <f t="shared" si="22"/>
        <v>-25</v>
      </c>
      <c r="I86" s="224">
        <f t="shared" si="22"/>
        <v>-344</v>
      </c>
      <c r="J86" s="224">
        <f t="shared" si="22"/>
        <v>0</v>
      </c>
      <c r="K86" s="224">
        <f t="shared" si="22"/>
        <v>-130</v>
      </c>
      <c r="L86" s="224">
        <f t="shared" si="22"/>
        <v>-125</v>
      </c>
      <c r="M86" s="224">
        <f t="shared" si="22"/>
        <v>150</v>
      </c>
      <c r="N86" s="224">
        <f t="shared" si="22"/>
        <v>-255</v>
      </c>
      <c r="O86" s="224">
        <f t="shared" si="22"/>
        <v>0</v>
      </c>
      <c r="P86" s="224">
        <f t="shared" si="22"/>
        <v>-150</v>
      </c>
      <c r="Q86" s="224">
        <f t="shared" si="22"/>
        <v>-138</v>
      </c>
      <c r="R86" s="224">
        <f t="shared" si="22"/>
        <v>-320</v>
      </c>
      <c r="S86" s="224">
        <f t="shared" si="22"/>
        <v>-184</v>
      </c>
      <c r="T86" s="224">
        <f t="shared" si="22"/>
        <v>0</v>
      </c>
      <c r="U86" s="224">
        <f t="shared" si="22"/>
        <v>-121</v>
      </c>
      <c r="V86" s="225">
        <f t="shared" si="22"/>
        <v>-317</v>
      </c>
      <c r="W86" s="222"/>
      <c r="X86" s="226"/>
      <c r="Y86" s="227"/>
    </row>
    <row r="87" spans="1:25" s="232" customFormat="1" ht="15.75">
      <c r="A87" s="228"/>
      <c r="B87" s="223" t="s">
        <v>127</v>
      </c>
      <c r="C87" s="224">
        <v>1891</v>
      </c>
      <c r="D87" s="224">
        <f>+C87+D86</f>
        <v>1795</v>
      </c>
      <c r="E87" s="224">
        <f aca="true" t="shared" si="23" ref="E87:V87">+D87+E86</f>
        <v>2008.7</v>
      </c>
      <c r="F87" s="224">
        <f t="shared" si="23"/>
        <v>1983.7</v>
      </c>
      <c r="G87" s="224">
        <f t="shared" si="23"/>
        <v>1958.7</v>
      </c>
      <c r="H87" s="224">
        <f t="shared" si="23"/>
        <v>1933.7</v>
      </c>
      <c r="I87" s="224">
        <f t="shared" si="23"/>
        <v>1589.7</v>
      </c>
      <c r="J87" s="224">
        <f t="shared" si="23"/>
        <v>1589.7</v>
      </c>
      <c r="K87" s="224">
        <f t="shared" si="23"/>
        <v>1459.7</v>
      </c>
      <c r="L87" s="224">
        <f t="shared" si="23"/>
        <v>1334.7</v>
      </c>
      <c r="M87" s="224">
        <f t="shared" si="23"/>
        <v>1484.7</v>
      </c>
      <c r="N87" s="224">
        <f t="shared" si="23"/>
        <v>1229.7</v>
      </c>
      <c r="O87" s="224">
        <f t="shared" si="23"/>
        <v>1229.7</v>
      </c>
      <c r="P87" s="224">
        <f t="shared" si="23"/>
        <v>1079.7</v>
      </c>
      <c r="Q87" s="224">
        <f t="shared" si="23"/>
        <v>941.7</v>
      </c>
      <c r="R87" s="224">
        <f t="shared" si="23"/>
        <v>621.7</v>
      </c>
      <c r="S87" s="224">
        <f t="shared" si="23"/>
        <v>437.70000000000005</v>
      </c>
      <c r="T87" s="224">
        <f t="shared" si="23"/>
        <v>437.70000000000005</v>
      </c>
      <c r="U87" s="224">
        <f t="shared" si="23"/>
        <v>316.70000000000005</v>
      </c>
      <c r="V87" s="225">
        <f t="shared" si="23"/>
        <v>-0.2999999999999545</v>
      </c>
      <c r="W87" s="229"/>
      <c r="X87" s="230"/>
      <c r="Y87" s="231"/>
    </row>
    <row r="88" spans="1:25" s="16" customFormat="1" ht="12.75">
      <c r="A88" s="17"/>
      <c r="B88" s="123" t="s">
        <v>104</v>
      </c>
      <c r="C88" s="124"/>
      <c r="D88" s="125"/>
      <c r="E88" s="125">
        <f>+((+G97+G98+G99)/4)</f>
        <v>5.547375000000001</v>
      </c>
      <c r="F88" s="125">
        <f>+E88+5.6</f>
        <v>11.147375</v>
      </c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6"/>
      <c r="W88" s="35"/>
      <c r="X88" s="37"/>
      <c r="Y88" s="18"/>
    </row>
    <row r="89" spans="1:25" s="16" customFormat="1" ht="12.75">
      <c r="A89" s="17"/>
      <c r="D89" s="105"/>
      <c r="E89" s="36"/>
      <c r="F89" s="36"/>
      <c r="G89" s="36"/>
      <c r="H89" s="36"/>
      <c r="I89" s="36"/>
      <c r="J89" s="36"/>
      <c r="K89" s="36"/>
      <c r="L89" s="105"/>
      <c r="M89" s="36"/>
      <c r="N89" s="105"/>
      <c r="O89" s="36"/>
      <c r="P89" s="36"/>
      <c r="Q89" s="36"/>
      <c r="R89" s="36"/>
      <c r="S89" s="36"/>
      <c r="T89" s="36"/>
      <c r="U89" s="36"/>
      <c r="V89" s="36"/>
      <c r="W89" s="35"/>
      <c r="X89" s="37"/>
      <c r="Y89" s="18"/>
    </row>
    <row r="90" ht="12.75">
      <c r="B90" s="55" t="s">
        <v>50</v>
      </c>
    </row>
    <row r="91" spans="2:21" ht="12.75">
      <c r="B91" s="55"/>
      <c r="U91" t="s">
        <v>95</v>
      </c>
    </row>
    <row r="92" spans="2:24" ht="12.75">
      <c r="B92" s="55"/>
      <c r="U92" t="s">
        <v>96</v>
      </c>
      <c r="W92" t="s">
        <v>124</v>
      </c>
      <c r="X92" s="10">
        <f>-310-X93</f>
        <v>-71</v>
      </c>
    </row>
    <row r="93" spans="2:24" ht="12.75">
      <c r="B93" s="55"/>
      <c r="D93" s="89"/>
      <c r="E93" s="90" t="s">
        <v>66</v>
      </c>
      <c r="F93" s="91"/>
      <c r="G93" s="92"/>
      <c r="W93" t="s">
        <v>98</v>
      </c>
      <c r="X93" s="10">
        <v>-239</v>
      </c>
    </row>
    <row r="94" spans="2:24" ht="12.75">
      <c r="B94" s="55"/>
      <c r="D94" s="62" t="s">
        <v>24</v>
      </c>
      <c r="E94" s="88" t="s">
        <v>94</v>
      </c>
      <c r="F94" s="63" t="s">
        <v>93</v>
      </c>
      <c r="G94" s="63" t="s">
        <v>19</v>
      </c>
      <c r="I94" s="236" t="s">
        <v>37</v>
      </c>
      <c r="J94" s="236" t="s">
        <v>129</v>
      </c>
      <c r="U94" t="s">
        <v>100</v>
      </c>
      <c r="X94" s="10">
        <v>-184</v>
      </c>
    </row>
    <row r="95" spans="2:24" ht="13.5" thickBot="1">
      <c r="B95" s="55"/>
      <c r="C95" s="6" t="s">
        <v>15</v>
      </c>
      <c r="D95" s="6">
        <v>1</v>
      </c>
      <c r="E95" s="14">
        <v>251.1</v>
      </c>
      <c r="F95" s="5">
        <v>10.045872</v>
      </c>
      <c r="G95" s="5">
        <f>10*25*0.0425</f>
        <v>10.625</v>
      </c>
      <c r="I95" s="234">
        <f>+G95/F95</f>
        <v>1.0576483554638165</v>
      </c>
      <c r="J95" s="235">
        <f>+I95/4</f>
        <v>0.26441208886595413</v>
      </c>
      <c r="U95" t="s">
        <v>99</v>
      </c>
      <c r="X95" s="93">
        <f>SUM(X82:X94)</f>
        <v>1515</v>
      </c>
    </row>
    <row r="96" spans="2:10" ht="13.5" thickTop="1">
      <c r="B96" s="55"/>
      <c r="C96" s="6" t="s">
        <v>40</v>
      </c>
      <c r="D96" s="6">
        <v>2</v>
      </c>
      <c r="E96" s="14">
        <v>151.6</v>
      </c>
      <c r="F96" s="5">
        <v>6.062128</v>
      </c>
      <c r="G96" s="5">
        <f>6*1.25</f>
        <v>7.5</v>
      </c>
      <c r="I96" s="234">
        <f>+G96/F96</f>
        <v>1.2371893170187103</v>
      </c>
      <c r="J96" s="235">
        <f>+I96/4</f>
        <v>0.30929732925467757</v>
      </c>
    </row>
    <row r="97" spans="2:10" ht="13.5" thickBot="1">
      <c r="B97" s="55"/>
      <c r="C97" s="6" t="s">
        <v>41</v>
      </c>
      <c r="D97" s="6">
        <v>3</v>
      </c>
      <c r="E97" s="14">
        <f>203</f>
        <v>203</v>
      </c>
      <c r="F97" s="5">
        <v>8.1209</v>
      </c>
      <c r="G97" s="5">
        <f>203*0.0675</f>
        <v>13.7025</v>
      </c>
      <c r="I97" s="234">
        <f>+G97/F97</f>
        <v>1.687312982551195</v>
      </c>
      <c r="J97" s="235">
        <f>+I97/4</f>
        <v>0.42182824563779875</v>
      </c>
    </row>
    <row r="98" spans="3:24" ht="18.75" thickBot="1">
      <c r="C98" s="6" t="s">
        <v>42</v>
      </c>
      <c r="D98" s="6">
        <v>5</v>
      </c>
      <c r="E98" s="14">
        <f>123</f>
        <v>123</v>
      </c>
      <c r="F98" s="5">
        <v>4.91992</v>
      </c>
      <c r="G98" s="5">
        <f>123*0.069</f>
        <v>8.487</v>
      </c>
      <c r="I98" s="234">
        <f>+G98/F98</f>
        <v>1.7250280492365728</v>
      </c>
      <c r="J98" s="235">
        <f>+I98/4</f>
        <v>0.4312570123091432</v>
      </c>
      <c r="S98" s="19" t="s">
        <v>68</v>
      </c>
      <c r="T98" s="102" t="s">
        <v>58</v>
      </c>
      <c r="U98" t="s">
        <v>57</v>
      </c>
      <c r="V98" s="14">
        <f>(+$E$23+$F$23)*2*0+146.1*4</f>
        <v>584.4</v>
      </c>
      <c r="W98" s="17" t="s">
        <v>67</v>
      </c>
      <c r="X98" s="71">
        <f>+X95/+(V98)</f>
        <v>2.5924024640657084</v>
      </c>
    </row>
    <row r="99" spans="4:24" ht="12.75">
      <c r="D99" s="6"/>
      <c r="E99" s="14"/>
      <c r="F99" s="5"/>
      <c r="G99" s="5"/>
      <c r="I99" s="234"/>
      <c r="J99" s="235"/>
      <c r="S99" s="1"/>
      <c r="T99" s="1"/>
      <c r="X99" s="56"/>
    </row>
    <row r="100" spans="5:25" ht="13.5" thickBot="1">
      <c r="E100" s="14"/>
      <c r="X100" s="1" t="s">
        <v>62</v>
      </c>
      <c r="Y100" s="58">
        <f>+Y82*0.5</f>
        <v>59.887</v>
      </c>
    </row>
    <row r="101" spans="4:25" ht="18.75" thickBot="1">
      <c r="D101" s="16" t="s">
        <v>37</v>
      </c>
      <c r="E101" s="34">
        <f>SUM(E95:E100)</f>
        <v>728.7</v>
      </c>
      <c r="F101" s="59">
        <f>SUM(F95:F100)</f>
        <v>29.148820000000004</v>
      </c>
      <c r="G101" s="59">
        <f>SUM(G95:G100)</f>
        <v>40.3145</v>
      </c>
      <c r="S101" s="19" t="s">
        <v>59</v>
      </c>
      <c r="T101" s="102" t="s">
        <v>58</v>
      </c>
      <c r="U101" t="s">
        <v>57</v>
      </c>
      <c r="V101" s="14">
        <f>(+$E$23+$F$23)</f>
        <v>291.2</v>
      </c>
      <c r="X101" s="24" t="s">
        <v>60</v>
      </c>
      <c r="Y101" s="69">
        <f>+V101/Y100</f>
        <v>4.862491024763304</v>
      </c>
    </row>
    <row r="102" ht="13.5" thickTop="1"/>
    <row r="103" spans="2:10" ht="12.75">
      <c r="B103" s="86"/>
      <c r="D103" s="6">
        <v>7</v>
      </c>
      <c r="E103" s="14">
        <v>2.9</v>
      </c>
      <c r="F103" s="5">
        <v>0.383333</v>
      </c>
      <c r="G103" s="5">
        <f>3*0.05</f>
        <v>0.15000000000000002</v>
      </c>
      <c r="I103" s="234">
        <f>+G103/F103</f>
        <v>0.3913046880910332</v>
      </c>
      <c r="J103" s="235">
        <f>+I103/4</f>
        <v>0.0978261720227583</v>
      </c>
    </row>
    <row r="108" ht="12.75">
      <c r="L108" s="85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32" sqref="D32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10" customWidth="1"/>
    <col min="25" max="25" width="9.140625" style="5" customWidth="1"/>
  </cols>
  <sheetData>
    <row r="1" spans="2:9" ht="31.5">
      <c r="B1" s="113" t="s">
        <v>123</v>
      </c>
      <c r="G1" s="64"/>
      <c r="H1" s="65" t="s">
        <v>108</v>
      </c>
      <c r="I1" s="64"/>
    </row>
    <row r="2" spans="1:25" s="98" customFormat="1" ht="10.5" customHeight="1">
      <c r="A2" s="31"/>
      <c r="B2" s="97"/>
      <c r="H2" s="99"/>
      <c r="X2" s="100"/>
      <c r="Y2" s="101"/>
    </row>
    <row r="3" spans="2:6" ht="20.25">
      <c r="B3" s="114" t="s">
        <v>110</v>
      </c>
      <c r="C3" s="95"/>
      <c r="D3" s="185"/>
      <c r="E3" s="104"/>
      <c r="F3" s="96"/>
    </row>
    <row r="4" spans="1:25" s="19" customFormat="1" ht="13.5" thickBot="1">
      <c r="A4" s="17"/>
      <c r="C4" s="144"/>
      <c r="D4" s="175" t="s">
        <v>20</v>
      </c>
      <c r="E4" s="160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19">
        <v>2015</v>
      </c>
      <c r="R4" s="19">
        <v>2016</v>
      </c>
      <c r="S4" s="19">
        <v>2017</v>
      </c>
      <c r="T4" s="19">
        <v>2018</v>
      </c>
      <c r="U4" s="19">
        <v>2019</v>
      </c>
      <c r="V4" s="19">
        <v>2020</v>
      </c>
      <c r="W4" s="17"/>
      <c r="X4" s="24"/>
      <c r="Y4" s="23"/>
    </row>
    <row r="5" spans="2:25" s="129" customFormat="1" ht="17.25" thickBot="1">
      <c r="B5" s="136" t="s">
        <v>105</v>
      </c>
      <c r="C5" s="137"/>
      <c r="D5" s="186"/>
      <c r="E5" s="183"/>
      <c r="F5" s="138">
        <f>4.5%/2</f>
        <v>0.0225</v>
      </c>
      <c r="G5" s="138">
        <f aca="true" t="shared" si="0" ref="G5:O6">+F5</f>
        <v>0.0225</v>
      </c>
      <c r="H5" s="139">
        <f t="shared" si="0"/>
        <v>0.0225</v>
      </c>
      <c r="I5" s="138">
        <f t="shared" si="0"/>
        <v>0.0225</v>
      </c>
      <c r="J5" s="138">
        <f t="shared" si="0"/>
        <v>0.0225</v>
      </c>
      <c r="K5" s="138">
        <f t="shared" si="0"/>
        <v>0.0225</v>
      </c>
      <c r="L5" s="139">
        <f t="shared" si="0"/>
        <v>0.0225</v>
      </c>
      <c r="M5" s="181">
        <f t="shared" si="0"/>
        <v>0.0225</v>
      </c>
      <c r="N5" s="138">
        <f t="shared" si="0"/>
        <v>0.0225</v>
      </c>
      <c r="O5" s="138">
        <f t="shared" si="0"/>
        <v>0.0225</v>
      </c>
      <c r="P5" s="139">
        <f>+O5</f>
        <v>0.0225</v>
      </c>
      <c r="Q5" s="179">
        <v>0.15</v>
      </c>
      <c r="R5" s="179">
        <v>0.15</v>
      </c>
      <c r="S5" s="139">
        <v>0.15</v>
      </c>
      <c r="T5" s="139">
        <v>0.15</v>
      </c>
      <c r="U5" s="139">
        <v>0.15</v>
      </c>
      <c r="V5" s="139">
        <v>0.15</v>
      </c>
      <c r="X5" s="134"/>
      <c r="Y5" s="135"/>
    </row>
    <row r="6" spans="2:25" s="129" customFormat="1" ht="17.25" thickBot="1">
      <c r="B6" s="130" t="s">
        <v>106</v>
      </c>
      <c r="C6" s="131"/>
      <c r="D6" s="131"/>
      <c r="E6" s="184"/>
      <c r="F6" s="132">
        <v>-0.044</v>
      </c>
      <c r="G6" s="132">
        <f t="shared" si="0"/>
        <v>-0.044</v>
      </c>
      <c r="H6" s="133">
        <f t="shared" si="0"/>
        <v>-0.044</v>
      </c>
      <c r="I6" s="182">
        <f t="shared" si="0"/>
        <v>-0.044</v>
      </c>
      <c r="J6" s="132">
        <f t="shared" si="0"/>
        <v>-0.044</v>
      </c>
      <c r="K6" s="132">
        <f t="shared" si="0"/>
        <v>-0.044</v>
      </c>
      <c r="L6" s="133">
        <f t="shared" si="0"/>
        <v>-0.044</v>
      </c>
      <c r="M6" s="182">
        <f t="shared" si="0"/>
        <v>-0.044</v>
      </c>
      <c r="N6" s="132">
        <f t="shared" si="0"/>
        <v>-0.044</v>
      </c>
      <c r="O6" s="132">
        <f t="shared" si="0"/>
        <v>-0.044</v>
      </c>
      <c r="P6" s="133">
        <f>+O6</f>
        <v>-0.044</v>
      </c>
      <c r="Q6" s="180">
        <v>-0.15</v>
      </c>
      <c r="R6" s="180">
        <v>-0.15</v>
      </c>
      <c r="S6" s="133">
        <v>-0.1</v>
      </c>
      <c r="T6" s="133">
        <v>-0.05</v>
      </c>
      <c r="U6" s="133">
        <v>0</v>
      </c>
      <c r="V6" s="133">
        <v>0</v>
      </c>
      <c r="X6" s="134"/>
      <c r="Y6" s="135"/>
    </row>
    <row r="7" spans="2:6" ht="20.25">
      <c r="B7" s="94"/>
      <c r="C7" s="95"/>
      <c r="D7" s="95"/>
      <c r="E7" s="161"/>
      <c r="F7" s="96"/>
    </row>
    <row r="8" spans="1:25" s="16" customFormat="1" ht="15.75">
      <c r="A8" s="17"/>
      <c r="D8" s="155"/>
      <c r="E8" s="177" t="s">
        <v>56</v>
      </c>
      <c r="F8" s="176"/>
      <c r="X8" s="24"/>
      <c r="Y8" s="23"/>
    </row>
    <row r="9" spans="1:25" s="19" customFormat="1" ht="12.75">
      <c r="A9" s="17"/>
      <c r="C9" s="144" t="s">
        <v>36</v>
      </c>
      <c r="D9" s="175" t="s">
        <v>20</v>
      </c>
      <c r="E9" s="162" t="s">
        <v>1</v>
      </c>
      <c r="F9" s="20" t="s">
        <v>2</v>
      </c>
      <c r="G9" s="20" t="s">
        <v>3</v>
      </c>
      <c r="H9" s="20" t="s">
        <v>4</v>
      </c>
      <c r="I9" s="21" t="s">
        <v>5</v>
      </c>
      <c r="J9" s="21" t="s">
        <v>6</v>
      </c>
      <c r="K9" s="21" t="s">
        <v>7</v>
      </c>
      <c r="L9" s="21" t="s">
        <v>8</v>
      </c>
      <c r="M9" s="22" t="s">
        <v>9</v>
      </c>
      <c r="N9" s="22" t="s">
        <v>10</v>
      </c>
      <c r="O9" s="22" t="s">
        <v>11</v>
      </c>
      <c r="P9" s="22" t="s">
        <v>12</v>
      </c>
      <c r="Q9" s="19">
        <v>2015</v>
      </c>
      <c r="R9" s="19">
        <v>2016</v>
      </c>
      <c r="S9" s="19">
        <v>2017</v>
      </c>
      <c r="T9" s="19">
        <v>2018</v>
      </c>
      <c r="U9" s="19">
        <v>2019</v>
      </c>
      <c r="V9" s="19">
        <v>2020</v>
      </c>
      <c r="W9" s="17" t="s">
        <v>46</v>
      </c>
      <c r="X9" s="24"/>
      <c r="Y9" s="23"/>
    </row>
    <row r="10" spans="1:25" s="2" customFormat="1" ht="12.75">
      <c r="A10" s="31"/>
      <c r="B10" s="53" t="s">
        <v>57</v>
      </c>
      <c r="C10" s="145"/>
      <c r="D10" s="149"/>
      <c r="E10" s="163"/>
      <c r="X10" s="9"/>
      <c r="Y10" s="11"/>
    </row>
    <row r="11" spans="1:25" s="2" customFormat="1" ht="12.75">
      <c r="A11" s="31"/>
      <c r="B11" s="103"/>
      <c r="C11" s="145"/>
      <c r="D11" s="149"/>
      <c r="E11" s="163"/>
      <c r="X11" s="9"/>
      <c r="Y11" s="11"/>
    </row>
    <row r="12" spans="1:25" s="2" customFormat="1" ht="12.75">
      <c r="A12" s="31"/>
      <c r="B12" s="72" t="s">
        <v>73</v>
      </c>
      <c r="C12" s="145"/>
      <c r="D12" s="157">
        <v>90</v>
      </c>
      <c r="E12" s="164">
        <v>85.9</v>
      </c>
      <c r="F12" s="12">
        <f aca="true" t="shared" si="1" ref="F12:P12">+E12*(1+F13)</f>
        <v>87.83275</v>
      </c>
      <c r="G12" s="12">
        <f t="shared" si="1"/>
        <v>89.808986875</v>
      </c>
      <c r="H12" s="12">
        <f t="shared" si="1"/>
        <v>91.8296890796875</v>
      </c>
      <c r="I12" s="12">
        <f t="shared" si="1"/>
        <v>93.89585708398046</v>
      </c>
      <c r="J12" s="12">
        <f t="shared" si="1"/>
        <v>96.00851386837002</v>
      </c>
      <c r="K12" s="12">
        <f t="shared" si="1"/>
        <v>98.16870543040834</v>
      </c>
      <c r="L12" s="12">
        <f t="shared" si="1"/>
        <v>100.37750130259252</v>
      </c>
      <c r="M12" s="12">
        <f t="shared" si="1"/>
        <v>102.63599508190084</v>
      </c>
      <c r="N12" s="12">
        <f t="shared" si="1"/>
        <v>104.94530497124362</v>
      </c>
      <c r="O12" s="12">
        <f t="shared" si="1"/>
        <v>107.30657433309659</v>
      </c>
      <c r="P12" s="12">
        <f t="shared" si="1"/>
        <v>109.72097225559126</v>
      </c>
      <c r="Q12" s="12">
        <f>+P12*4</f>
        <v>438.88388902236505</v>
      </c>
      <c r="R12" s="12">
        <f>+Q12*(1+R13)</f>
        <v>504.7164723757198</v>
      </c>
      <c r="S12" s="12">
        <f>+R12*(1+S13)</f>
        <v>580.4239432320777</v>
      </c>
      <c r="T12" s="12">
        <f>+S12*(1+T13)</f>
        <v>667.4875347168893</v>
      </c>
      <c r="U12" s="12">
        <f>+T12*(1+U13)</f>
        <v>767.6106649244226</v>
      </c>
      <c r="V12" s="12">
        <f>+U12*(1+V13)</f>
        <v>882.752264663086</v>
      </c>
      <c r="X12" s="9"/>
      <c r="Y12" s="11"/>
    </row>
    <row r="13" spans="1:25" s="2" customFormat="1" ht="12.75">
      <c r="A13" s="31"/>
      <c r="B13" s="73" t="s">
        <v>76</v>
      </c>
      <c r="C13" s="146"/>
      <c r="D13" s="146"/>
      <c r="E13" s="165"/>
      <c r="F13" s="77">
        <f aca="true" t="shared" si="2" ref="F13:R13">+F5</f>
        <v>0.0225</v>
      </c>
      <c r="G13" s="77">
        <f t="shared" si="2"/>
        <v>0.0225</v>
      </c>
      <c r="H13" s="77">
        <f t="shared" si="2"/>
        <v>0.0225</v>
      </c>
      <c r="I13" s="77">
        <f t="shared" si="2"/>
        <v>0.0225</v>
      </c>
      <c r="J13" s="77">
        <f t="shared" si="2"/>
        <v>0.0225</v>
      </c>
      <c r="K13" s="77">
        <f t="shared" si="2"/>
        <v>0.0225</v>
      </c>
      <c r="L13" s="77">
        <f t="shared" si="2"/>
        <v>0.0225</v>
      </c>
      <c r="M13" s="77">
        <f t="shared" si="2"/>
        <v>0.0225</v>
      </c>
      <c r="N13" s="77">
        <f t="shared" si="2"/>
        <v>0.0225</v>
      </c>
      <c r="O13" s="77">
        <f t="shared" si="2"/>
        <v>0.0225</v>
      </c>
      <c r="P13" s="77">
        <f t="shared" si="2"/>
        <v>0.0225</v>
      </c>
      <c r="Q13" s="77">
        <f t="shared" si="2"/>
        <v>0.15</v>
      </c>
      <c r="R13" s="77">
        <f t="shared" si="2"/>
        <v>0.15</v>
      </c>
      <c r="S13" s="77">
        <f>+S5</f>
        <v>0.15</v>
      </c>
      <c r="T13" s="77">
        <f>+T5</f>
        <v>0.15</v>
      </c>
      <c r="U13" s="77">
        <f>+U5</f>
        <v>0.15</v>
      </c>
      <c r="V13" s="77">
        <f>+V5</f>
        <v>0.15</v>
      </c>
      <c r="X13" s="9"/>
      <c r="Y13" s="11"/>
    </row>
    <row r="14" spans="1:22" s="111" customFormat="1" ht="12.75">
      <c r="A14" s="109"/>
      <c r="B14" s="110" t="s">
        <v>122</v>
      </c>
      <c r="C14" s="107"/>
      <c r="D14" s="107">
        <v>0.394</v>
      </c>
      <c r="E14" s="166">
        <v>0.4</v>
      </c>
      <c r="F14" s="111">
        <f aca="true" t="shared" si="3" ref="F14:R14">+E14</f>
        <v>0.4</v>
      </c>
      <c r="G14" s="111">
        <f t="shared" si="3"/>
        <v>0.4</v>
      </c>
      <c r="H14" s="111">
        <f t="shared" si="3"/>
        <v>0.4</v>
      </c>
      <c r="I14" s="111">
        <f t="shared" si="3"/>
        <v>0.4</v>
      </c>
      <c r="J14" s="111">
        <f t="shared" si="3"/>
        <v>0.4</v>
      </c>
      <c r="K14" s="111">
        <f t="shared" si="3"/>
        <v>0.4</v>
      </c>
      <c r="L14" s="111">
        <f t="shared" si="3"/>
        <v>0.4</v>
      </c>
      <c r="M14" s="111">
        <f t="shared" si="3"/>
        <v>0.4</v>
      </c>
      <c r="N14" s="111">
        <f t="shared" si="3"/>
        <v>0.4</v>
      </c>
      <c r="O14" s="111">
        <f t="shared" si="3"/>
        <v>0.4</v>
      </c>
      <c r="P14" s="111">
        <f t="shared" si="3"/>
        <v>0.4</v>
      </c>
      <c r="Q14" s="111">
        <f t="shared" si="3"/>
        <v>0.4</v>
      </c>
      <c r="R14" s="111">
        <f t="shared" si="3"/>
        <v>0.4</v>
      </c>
      <c r="S14" s="111">
        <f>+R14</f>
        <v>0.4</v>
      </c>
      <c r="T14" s="111">
        <f>+S14</f>
        <v>0.4</v>
      </c>
      <c r="U14" s="111">
        <f>+T14</f>
        <v>0.4</v>
      </c>
      <c r="V14" s="111">
        <f>+U14</f>
        <v>0.4</v>
      </c>
    </row>
    <row r="15" spans="1:25" s="2" customFormat="1" ht="12.75">
      <c r="A15" s="31"/>
      <c r="B15" s="26" t="s">
        <v>75</v>
      </c>
      <c r="C15" s="145"/>
      <c r="D15" s="80">
        <f>+D12*D14</f>
        <v>35.46</v>
      </c>
      <c r="E15" s="188">
        <f>+E12*E14</f>
        <v>34.36000000000001</v>
      </c>
      <c r="F15" s="80">
        <f aca="true" t="shared" si="4" ref="F15:R15">+F12*F14</f>
        <v>35.133100000000006</v>
      </c>
      <c r="G15" s="80">
        <f t="shared" si="4"/>
        <v>35.92359475</v>
      </c>
      <c r="H15" s="80">
        <f t="shared" si="4"/>
        <v>36.731875631875</v>
      </c>
      <c r="I15" s="80">
        <f t="shared" si="4"/>
        <v>37.558342833592185</v>
      </c>
      <c r="J15" s="80">
        <f t="shared" si="4"/>
        <v>38.40340554734801</v>
      </c>
      <c r="K15" s="80">
        <f t="shared" si="4"/>
        <v>39.26748217216334</v>
      </c>
      <c r="L15" s="80">
        <f t="shared" si="4"/>
        <v>40.15100052103701</v>
      </c>
      <c r="M15" s="80">
        <f t="shared" si="4"/>
        <v>41.05439803276034</v>
      </c>
      <c r="N15" s="80">
        <f t="shared" si="4"/>
        <v>41.97812198849745</v>
      </c>
      <c r="O15" s="80">
        <f t="shared" si="4"/>
        <v>42.92262973323864</v>
      </c>
      <c r="P15" s="80">
        <f t="shared" si="4"/>
        <v>43.88838890223651</v>
      </c>
      <c r="Q15" s="80">
        <f t="shared" si="4"/>
        <v>175.55355560894603</v>
      </c>
      <c r="R15" s="80">
        <f t="shared" si="4"/>
        <v>201.88658895028792</v>
      </c>
      <c r="S15" s="80">
        <f>+S12*S14</f>
        <v>232.1695772928311</v>
      </c>
      <c r="T15" s="80">
        <f>+T12*T14</f>
        <v>266.9950138867557</v>
      </c>
      <c r="U15" s="80">
        <f>+U12*U14</f>
        <v>307.04426596976907</v>
      </c>
      <c r="V15" s="80">
        <f>+V12*V14</f>
        <v>353.1009058652344</v>
      </c>
      <c r="X15" s="9"/>
      <c r="Y15" s="11"/>
    </row>
    <row r="16" spans="1:25" s="2" customFormat="1" ht="12.75">
      <c r="A16" s="31"/>
      <c r="B16" s="72"/>
      <c r="C16" s="145"/>
      <c r="D16" s="157"/>
      <c r="E16" s="16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9"/>
      <c r="Y16" s="11"/>
    </row>
    <row r="17" spans="1:25" s="2" customFormat="1" ht="12.75">
      <c r="A17" s="31"/>
      <c r="B17" s="72" t="s">
        <v>74</v>
      </c>
      <c r="C17" s="145"/>
      <c r="D17" s="157">
        <v>223.3</v>
      </c>
      <c r="E17" s="164">
        <f>+E22-E12</f>
        <v>203.20000000000002</v>
      </c>
      <c r="F17" s="12">
        <f aca="true" t="shared" si="5" ref="F17:R17">+E17*(1+F18)</f>
        <v>194.25920000000002</v>
      </c>
      <c r="G17" s="12">
        <f t="shared" si="5"/>
        <v>185.7117952</v>
      </c>
      <c r="H17" s="12">
        <f t="shared" si="5"/>
        <v>177.5404762112</v>
      </c>
      <c r="I17" s="12">
        <f t="shared" si="5"/>
        <v>169.7286952579072</v>
      </c>
      <c r="J17" s="12">
        <f t="shared" si="5"/>
        <v>162.26063266655927</v>
      </c>
      <c r="K17" s="12">
        <f t="shared" si="5"/>
        <v>155.12116482923065</v>
      </c>
      <c r="L17" s="12">
        <f t="shared" si="5"/>
        <v>148.29583357674449</v>
      </c>
      <c r="M17" s="12">
        <f t="shared" si="5"/>
        <v>141.77081689936773</v>
      </c>
      <c r="N17" s="12">
        <f t="shared" si="5"/>
        <v>135.53290095579555</v>
      </c>
      <c r="O17" s="12">
        <f t="shared" si="5"/>
        <v>129.56945331374055</v>
      </c>
      <c r="P17" s="12">
        <f t="shared" si="5"/>
        <v>123.86839736793597</v>
      </c>
      <c r="Q17" s="12">
        <f>+P17*4</f>
        <v>495.4735894717439</v>
      </c>
      <c r="R17" s="12">
        <f t="shared" si="5"/>
        <v>421.1525510509823</v>
      </c>
      <c r="S17" s="12">
        <f>+R17*(1+S18)</f>
        <v>379.03729594588407</v>
      </c>
      <c r="T17" s="12">
        <f>+S17*(1+T18)</f>
        <v>360.08543114858986</v>
      </c>
      <c r="U17" s="12">
        <f>+T17*(1+U18)</f>
        <v>360.08543114858986</v>
      </c>
      <c r="V17" s="12">
        <f>+U17*(1+V18)</f>
        <v>360.08543114858986</v>
      </c>
      <c r="X17" s="9"/>
      <c r="Y17" s="11"/>
    </row>
    <row r="18" spans="1:25" s="2" customFormat="1" ht="12.75">
      <c r="A18" s="31"/>
      <c r="B18" s="73" t="s">
        <v>79</v>
      </c>
      <c r="C18" s="145"/>
      <c r="D18" s="157"/>
      <c r="E18" s="167"/>
      <c r="F18" s="78">
        <f aca="true" t="shared" si="6" ref="F18:R18">+F6</f>
        <v>-0.044</v>
      </c>
      <c r="G18" s="78">
        <f t="shared" si="6"/>
        <v>-0.044</v>
      </c>
      <c r="H18" s="78">
        <f t="shared" si="6"/>
        <v>-0.044</v>
      </c>
      <c r="I18" s="78">
        <f t="shared" si="6"/>
        <v>-0.044</v>
      </c>
      <c r="J18" s="78">
        <f t="shared" si="6"/>
        <v>-0.044</v>
      </c>
      <c r="K18" s="78">
        <f t="shared" si="6"/>
        <v>-0.044</v>
      </c>
      <c r="L18" s="78">
        <f t="shared" si="6"/>
        <v>-0.044</v>
      </c>
      <c r="M18" s="78">
        <f t="shared" si="6"/>
        <v>-0.044</v>
      </c>
      <c r="N18" s="78">
        <f t="shared" si="6"/>
        <v>-0.044</v>
      </c>
      <c r="O18" s="78">
        <f t="shared" si="6"/>
        <v>-0.044</v>
      </c>
      <c r="P18" s="78">
        <f t="shared" si="6"/>
        <v>-0.044</v>
      </c>
      <c r="Q18" s="78">
        <f t="shared" si="6"/>
        <v>-0.15</v>
      </c>
      <c r="R18" s="78">
        <f t="shared" si="6"/>
        <v>-0.15</v>
      </c>
      <c r="S18" s="78">
        <f>+S6</f>
        <v>-0.1</v>
      </c>
      <c r="T18" s="78">
        <f>+T6</f>
        <v>-0.05</v>
      </c>
      <c r="U18" s="78">
        <f>+U6</f>
        <v>0</v>
      </c>
      <c r="V18" s="78">
        <f>+V6</f>
        <v>0</v>
      </c>
      <c r="X18" s="9"/>
      <c r="Y18" s="11"/>
    </row>
    <row r="19" spans="1:23" s="111" customFormat="1" ht="15">
      <c r="A19" s="109"/>
      <c r="B19" s="110" t="s">
        <v>122</v>
      </c>
      <c r="C19" s="147"/>
      <c r="D19" s="107">
        <v>0.5</v>
      </c>
      <c r="E19" s="166">
        <v>0.55</v>
      </c>
      <c r="F19" s="107">
        <v>0.55</v>
      </c>
      <c r="G19" s="107">
        <v>0.545</v>
      </c>
      <c r="H19" s="107">
        <v>0.54</v>
      </c>
      <c r="I19" s="107">
        <v>0.54</v>
      </c>
      <c r="J19" s="107">
        <v>0.535</v>
      </c>
      <c r="K19" s="107">
        <v>0.53</v>
      </c>
      <c r="L19" s="107">
        <v>0.53</v>
      </c>
      <c r="M19" s="107">
        <v>0.53</v>
      </c>
      <c r="N19" s="107">
        <v>0.53</v>
      </c>
      <c r="O19" s="107">
        <v>0.53</v>
      </c>
      <c r="P19" s="107">
        <v>0.53</v>
      </c>
      <c r="Q19" s="107">
        <v>0.53</v>
      </c>
      <c r="R19" s="107">
        <v>0.53</v>
      </c>
      <c r="S19" s="107">
        <v>0.53</v>
      </c>
      <c r="T19" s="107">
        <v>0.53</v>
      </c>
      <c r="U19" s="107">
        <v>0.53</v>
      </c>
      <c r="V19" s="107">
        <v>0.53</v>
      </c>
      <c r="W19" s="128" t="s">
        <v>111</v>
      </c>
    </row>
    <row r="20" spans="1:25" s="2" customFormat="1" ht="12.75">
      <c r="A20" s="31"/>
      <c r="B20" s="26" t="s">
        <v>77</v>
      </c>
      <c r="C20" s="145"/>
      <c r="D20" s="80">
        <f>+D17*D19</f>
        <v>111.65</v>
      </c>
      <c r="E20" s="188">
        <f>+E23-E15</f>
        <v>111.63999999999999</v>
      </c>
      <c r="F20" s="80">
        <f aca="true" t="shared" si="7" ref="F20:R20">+F17*F19</f>
        <v>106.84256000000002</v>
      </c>
      <c r="G20" s="80">
        <f t="shared" si="7"/>
        <v>101.21292838400001</v>
      </c>
      <c r="H20" s="80">
        <f t="shared" si="7"/>
        <v>95.871857154048</v>
      </c>
      <c r="I20" s="80">
        <f t="shared" si="7"/>
        <v>91.65349543926989</v>
      </c>
      <c r="J20" s="80">
        <f t="shared" si="7"/>
        <v>86.80943847660922</v>
      </c>
      <c r="K20" s="80">
        <f t="shared" si="7"/>
        <v>82.21421735949225</v>
      </c>
      <c r="L20" s="80">
        <f t="shared" si="7"/>
        <v>78.59679179567458</v>
      </c>
      <c r="M20" s="80">
        <f t="shared" si="7"/>
        <v>75.1385329566649</v>
      </c>
      <c r="N20" s="80">
        <f t="shared" si="7"/>
        <v>71.83243750657165</v>
      </c>
      <c r="O20" s="80">
        <f t="shared" si="7"/>
        <v>68.6718102562825</v>
      </c>
      <c r="P20" s="80">
        <f t="shared" si="7"/>
        <v>65.65025060500606</v>
      </c>
      <c r="Q20" s="80">
        <f t="shared" si="7"/>
        <v>262.60100242002426</v>
      </c>
      <c r="R20" s="80">
        <f t="shared" si="7"/>
        <v>223.21085205702065</v>
      </c>
      <c r="S20" s="80">
        <f>+S17*S19</f>
        <v>200.88976685131857</v>
      </c>
      <c r="T20" s="80">
        <f>+T17*T19</f>
        <v>190.84527850875264</v>
      </c>
      <c r="U20" s="80">
        <f>+U17*U19</f>
        <v>190.84527850875264</v>
      </c>
      <c r="V20" s="80">
        <f>+V17*V19</f>
        <v>190.84527850875264</v>
      </c>
      <c r="X20" s="9"/>
      <c r="Y20" s="11"/>
    </row>
    <row r="21" spans="1:25" s="2" customFormat="1" ht="12.75">
      <c r="A21" s="31"/>
      <c r="B21" s="73"/>
      <c r="C21" s="145"/>
      <c r="D21" s="38"/>
      <c r="E21" s="16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9"/>
      <c r="Y21" s="11"/>
    </row>
    <row r="22" spans="1:25" s="2" customFormat="1" ht="12.75">
      <c r="A22" s="31"/>
      <c r="B22" s="73" t="s">
        <v>80</v>
      </c>
      <c r="C22" s="145"/>
      <c r="D22" s="157">
        <f>+D12+D17</f>
        <v>313.3</v>
      </c>
      <c r="E22" s="164">
        <v>289.1</v>
      </c>
      <c r="F22" s="12">
        <f aca="true" t="shared" si="8" ref="F22:R22">+F12+F17</f>
        <v>282.09195</v>
      </c>
      <c r="G22" s="12">
        <f t="shared" si="8"/>
        <v>275.520782075</v>
      </c>
      <c r="H22" s="12">
        <f t="shared" si="8"/>
        <v>269.3701652908875</v>
      </c>
      <c r="I22" s="12">
        <f t="shared" si="8"/>
        <v>263.62455234188764</v>
      </c>
      <c r="J22" s="12">
        <f t="shared" si="8"/>
        <v>258.2691465349293</v>
      </c>
      <c r="K22" s="12">
        <f t="shared" si="8"/>
        <v>253.28987025963897</v>
      </c>
      <c r="L22" s="12">
        <f t="shared" si="8"/>
        <v>248.673334879337</v>
      </c>
      <c r="M22" s="12">
        <f t="shared" si="8"/>
        <v>244.40681198126856</v>
      </c>
      <c r="N22" s="12">
        <f t="shared" si="8"/>
        <v>240.47820592703917</v>
      </c>
      <c r="O22" s="12">
        <f t="shared" si="8"/>
        <v>236.87602764683714</v>
      </c>
      <c r="P22" s="12">
        <f t="shared" si="8"/>
        <v>233.58936962352723</v>
      </c>
      <c r="Q22" s="12">
        <f t="shared" si="8"/>
        <v>934.3574784941089</v>
      </c>
      <c r="R22" s="12">
        <f t="shared" si="8"/>
        <v>925.8690234267021</v>
      </c>
      <c r="S22" s="12">
        <f>+S12+S17</f>
        <v>959.4612391779617</v>
      </c>
      <c r="T22" s="12">
        <f>+T12+T17</f>
        <v>1027.572965865479</v>
      </c>
      <c r="U22" s="12">
        <f>+U12+U17</f>
        <v>1127.6960960730125</v>
      </c>
      <c r="V22" s="12">
        <f>+V12+V17</f>
        <v>1242.8376958116758</v>
      </c>
      <c r="X22" s="9"/>
      <c r="Y22" s="11"/>
    </row>
    <row r="23" spans="1:25" s="26" customFormat="1" ht="13.5" thickBot="1">
      <c r="A23" s="32" t="s">
        <v>15</v>
      </c>
      <c r="B23" s="32" t="s">
        <v>112</v>
      </c>
      <c r="C23" s="148"/>
      <c r="D23" s="81">
        <f>+D15+D20</f>
        <v>147.11</v>
      </c>
      <c r="E23" s="79">
        <v>146</v>
      </c>
      <c r="F23" s="81">
        <f aca="true" t="shared" si="9" ref="F23:R23">+F15+F20</f>
        <v>141.97566000000003</v>
      </c>
      <c r="G23" s="81">
        <f t="shared" si="9"/>
        <v>137.13652313400002</v>
      </c>
      <c r="H23" s="81">
        <f t="shared" si="9"/>
        <v>132.603732785923</v>
      </c>
      <c r="I23" s="81">
        <f t="shared" si="9"/>
        <v>129.21183827286208</v>
      </c>
      <c r="J23" s="81">
        <f t="shared" si="9"/>
        <v>125.21284402395722</v>
      </c>
      <c r="K23" s="81">
        <f t="shared" si="9"/>
        <v>121.4816995316556</v>
      </c>
      <c r="L23" s="81">
        <f t="shared" si="9"/>
        <v>118.74779231671158</v>
      </c>
      <c r="M23" s="81">
        <f t="shared" si="9"/>
        <v>116.19293098942524</v>
      </c>
      <c r="N23" s="81">
        <f t="shared" si="9"/>
        <v>113.8105594950691</v>
      </c>
      <c r="O23" s="81">
        <f t="shared" si="9"/>
        <v>111.59443998952113</v>
      </c>
      <c r="P23" s="81">
        <f t="shared" si="9"/>
        <v>109.53863950724258</v>
      </c>
      <c r="Q23" s="81">
        <f t="shared" si="9"/>
        <v>438.1545580289703</v>
      </c>
      <c r="R23" s="81">
        <f t="shared" si="9"/>
        <v>425.0974410073086</v>
      </c>
      <c r="S23" s="81">
        <f>+S15+S20</f>
        <v>433.0593441441497</v>
      </c>
      <c r="T23" s="81">
        <f>+T15+T20</f>
        <v>457.84029239550836</v>
      </c>
      <c r="U23" s="81">
        <f>+U15+U20</f>
        <v>497.8895444785217</v>
      </c>
      <c r="V23" s="81">
        <f>+V15+V20</f>
        <v>543.9461843739871</v>
      </c>
      <c r="X23" s="28"/>
      <c r="Y23" s="29"/>
    </row>
    <row r="24" spans="1:25" s="26" customFormat="1" ht="13.5" thickTop="1">
      <c r="A24" s="32"/>
      <c r="B24" s="26" t="s">
        <v>81</v>
      </c>
      <c r="C24" s="148"/>
      <c r="D24" s="83">
        <f>+D23/D22</f>
        <v>0.4695499521225663</v>
      </c>
      <c r="E24" s="169">
        <f>+E23/E22</f>
        <v>0.5050155655482531</v>
      </c>
      <c r="F24" s="83">
        <f>+F23/F22</f>
        <v>0.5032956807168728</v>
      </c>
      <c r="G24" s="83">
        <f aca="true" t="shared" si="10" ref="G24:R24">+G23/G22</f>
        <v>0.4977356775093279</v>
      </c>
      <c r="H24" s="83">
        <f t="shared" si="10"/>
        <v>0.49227327251600733</v>
      </c>
      <c r="I24" s="83">
        <f t="shared" si="10"/>
        <v>0.4901358281124389</v>
      </c>
      <c r="J24" s="83">
        <f t="shared" si="10"/>
        <v>0.48481533974877233</v>
      </c>
      <c r="K24" s="83">
        <f t="shared" si="10"/>
        <v>0.4796153095547357</v>
      </c>
      <c r="L24" s="83">
        <f t="shared" si="10"/>
        <v>0.4775252335532123</v>
      </c>
      <c r="M24" s="83">
        <f t="shared" si="10"/>
        <v>0.47540790719994463</v>
      </c>
      <c r="N24" s="83">
        <f t="shared" si="10"/>
        <v>0.47326766704837736</v>
      </c>
      <c r="O24" s="83">
        <f t="shared" si="10"/>
        <v>0.4711090484677468</v>
      </c>
      <c r="P24" s="83">
        <f t="shared" si="10"/>
        <v>0.4689367486362264</v>
      </c>
      <c r="Q24" s="83">
        <f t="shared" si="10"/>
        <v>0.4689367486362264</v>
      </c>
      <c r="R24" s="83">
        <f t="shared" si="10"/>
        <v>0.45913345219607304</v>
      </c>
      <c r="S24" s="83">
        <f>+S23/S22</f>
        <v>0.45135678906130927</v>
      </c>
      <c r="T24" s="83">
        <f>+T23/T22</f>
        <v>0.44555501906367284</v>
      </c>
      <c r="U24" s="83">
        <f>+U23/U22</f>
        <v>0.4415103911526585</v>
      </c>
      <c r="V24" s="83">
        <f>+V23/V22</f>
        <v>0.43766469765687727</v>
      </c>
      <c r="X24" s="28"/>
      <c r="Y24" s="29"/>
    </row>
    <row r="25" spans="1:25" s="2" customFormat="1" ht="12.75">
      <c r="A25" s="31"/>
      <c r="B25" s="103"/>
      <c r="C25" s="145"/>
      <c r="D25" s="149"/>
      <c r="E25" s="163"/>
      <c r="X25" s="9"/>
      <c r="Y25" s="11"/>
    </row>
    <row r="26" spans="1:25" s="26" customFormat="1" ht="12.75">
      <c r="A26" s="32"/>
      <c r="B26" s="25"/>
      <c r="C26" s="148"/>
      <c r="D26" s="38"/>
      <c r="E26" s="16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X26" s="28"/>
      <c r="Y26" s="29"/>
    </row>
    <row r="27" spans="1:25" s="2" customFormat="1" ht="12.75">
      <c r="A27" s="31"/>
      <c r="B27" s="53" t="s">
        <v>47</v>
      </c>
      <c r="C27" s="149"/>
      <c r="D27" s="157"/>
      <c r="E27" s="16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9"/>
      <c r="Y27" s="11"/>
    </row>
    <row r="28" spans="1:25" s="2" customFormat="1" ht="12.75">
      <c r="A28" s="31"/>
      <c r="B28" s="25" t="s">
        <v>17</v>
      </c>
      <c r="C28" s="149"/>
      <c r="D28" s="157"/>
      <c r="E28" s="16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X28" s="9"/>
      <c r="Y28" s="11"/>
    </row>
    <row r="29" spans="1:25" s="2" customFormat="1" ht="12.75">
      <c r="A29" s="31"/>
      <c r="B29" s="1" t="s">
        <v>89</v>
      </c>
      <c r="C29" s="149"/>
      <c r="D29" s="157">
        <f>266*0.05/4</f>
        <v>3.325</v>
      </c>
      <c r="E29" s="164">
        <v>2.07</v>
      </c>
      <c r="F29" s="12">
        <v>1.7825</v>
      </c>
      <c r="G29" s="12">
        <v>1.495</v>
      </c>
      <c r="H29" s="12">
        <v>1.2075</v>
      </c>
      <c r="I29" s="12">
        <v>0.92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X29" s="9"/>
      <c r="Y29" s="11"/>
    </row>
    <row r="30" spans="1:25" s="2" customFormat="1" ht="12.75">
      <c r="A30" s="31"/>
      <c r="B30" s="1" t="s">
        <v>90</v>
      </c>
      <c r="C30" s="149"/>
      <c r="D30" s="157"/>
      <c r="E30" s="164">
        <f>+Y68/4</f>
        <v>2.629</v>
      </c>
      <c r="F30" s="12">
        <f>+E30</f>
        <v>2.629</v>
      </c>
      <c r="G30" s="12">
        <f>+F30</f>
        <v>2.629</v>
      </c>
      <c r="H30" s="12">
        <f>+G30</f>
        <v>2.629</v>
      </c>
      <c r="I30" s="12">
        <f>+H30*0.5</f>
        <v>1.3145</v>
      </c>
      <c r="J30" s="12"/>
      <c r="K30" s="12"/>
      <c r="L30" s="12"/>
      <c r="M30" s="27">
        <v>1.65</v>
      </c>
      <c r="N30" s="27">
        <v>1.65</v>
      </c>
      <c r="O30" s="27">
        <v>1.65</v>
      </c>
      <c r="P30" s="27">
        <v>1.65</v>
      </c>
      <c r="Q30" s="12"/>
      <c r="R30" s="12"/>
      <c r="S30" s="12"/>
      <c r="T30" s="12"/>
      <c r="U30" s="12"/>
      <c r="V30" s="12"/>
      <c r="X30" s="9"/>
      <c r="Y30" s="11"/>
    </row>
    <row r="31" spans="1:25" s="2" customFormat="1" ht="12.75">
      <c r="A31" s="31"/>
      <c r="B31" s="1" t="s">
        <v>25</v>
      </c>
      <c r="C31" s="187"/>
      <c r="D31" s="157">
        <v>0</v>
      </c>
      <c r="E31" s="164"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31" s="9"/>
      <c r="Y31" s="11"/>
    </row>
    <row r="32" spans="1:25" s="2" customFormat="1" ht="12.75">
      <c r="A32" s="31"/>
      <c r="B32" s="1" t="s">
        <v>34</v>
      </c>
      <c r="C32" s="149"/>
      <c r="D32" s="157">
        <f aca="true" t="shared" si="11" ref="D32:K32">+$Y71/4</f>
        <v>2.875</v>
      </c>
      <c r="E32" s="164">
        <f t="shared" si="11"/>
        <v>2.875</v>
      </c>
      <c r="F32" s="12">
        <f t="shared" si="11"/>
        <v>2.875</v>
      </c>
      <c r="G32" s="12">
        <f t="shared" si="11"/>
        <v>2.875</v>
      </c>
      <c r="H32" s="12">
        <f t="shared" si="11"/>
        <v>2.875</v>
      </c>
      <c r="I32" s="12">
        <f t="shared" si="11"/>
        <v>2.875</v>
      </c>
      <c r="J32" s="12">
        <f t="shared" si="11"/>
        <v>2.875</v>
      </c>
      <c r="K32" s="12">
        <f t="shared" si="11"/>
        <v>2.875</v>
      </c>
      <c r="L32" s="127">
        <v>0.9</v>
      </c>
      <c r="M32" s="127">
        <f>+$Y71/4*0</f>
        <v>0</v>
      </c>
      <c r="N32" s="127">
        <f>+M32</f>
        <v>0</v>
      </c>
      <c r="O32" s="127">
        <f>+N32</f>
        <v>0</v>
      </c>
      <c r="P32" s="127">
        <f>+O32</f>
        <v>0</v>
      </c>
      <c r="Q32" s="127">
        <f>+P32*4</f>
        <v>0</v>
      </c>
      <c r="R32" s="127">
        <f>+Q32</f>
        <v>0</v>
      </c>
      <c r="S32" s="127">
        <f>+R32</f>
        <v>0</v>
      </c>
      <c r="T32" s="127">
        <f>+S32</f>
        <v>0</v>
      </c>
      <c r="U32" s="127">
        <f>+T32</f>
        <v>0</v>
      </c>
      <c r="V32" s="127">
        <f>+U32</f>
        <v>0</v>
      </c>
      <c r="X32" s="9"/>
      <c r="Y32" s="11"/>
    </row>
    <row r="33" spans="1:25" s="2" customFormat="1" ht="12.75">
      <c r="A33" s="31"/>
      <c r="B33" s="1" t="s">
        <v>14</v>
      </c>
      <c r="C33" s="149"/>
      <c r="D33" s="157"/>
      <c r="E33" s="16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X33" s="9"/>
      <c r="Y33" s="11"/>
    </row>
    <row r="34" spans="1:25" s="2" customFormat="1" ht="12.75">
      <c r="A34" s="31"/>
      <c r="B34" s="7" t="s">
        <v>27</v>
      </c>
      <c r="C34" s="149"/>
      <c r="D34" s="157">
        <f aca="true" t="shared" si="12" ref="D34:P41">+$Y73/4</f>
        <v>2.1125000000000003</v>
      </c>
      <c r="E34" s="164">
        <f t="shared" si="12"/>
        <v>2.1125000000000003</v>
      </c>
      <c r="F34" s="12">
        <f t="shared" si="12"/>
        <v>2.1125000000000003</v>
      </c>
      <c r="G34" s="12">
        <f t="shared" si="12"/>
        <v>2.1125000000000003</v>
      </c>
      <c r="H34" s="12">
        <f t="shared" si="12"/>
        <v>2.1125000000000003</v>
      </c>
      <c r="I34" s="12">
        <f t="shared" si="12"/>
        <v>2.1125000000000003</v>
      </c>
      <c r="J34" s="12">
        <f t="shared" si="12"/>
        <v>2.1125000000000003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X34" s="9"/>
      <c r="Y34" s="11"/>
    </row>
    <row r="35" spans="1:25" s="2" customFormat="1" ht="12.75">
      <c r="A35" s="31"/>
      <c r="B35" s="1" t="s">
        <v>26</v>
      </c>
      <c r="C35" s="149"/>
      <c r="D35" s="157">
        <f t="shared" si="12"/>
        <v>2.140625</v>
      </c>
      <c r="E35" s="164">
        <f t="shared" si="12"/>
        <v>2.140625</v>
      </c>
      <c r="F35" s="12">
        <f t="shared" si="12"/>
        <v>2.140625</v>
      </c>
      <c r="G35" s="12">
        <f t="shared" si="12"/>
        <v>2.140625</v>
      </c>
      <c r="H35" s="12">
        <f t="shared" si="12"/>
        <v>2.140625</v>
      </c>
      <c r="I35" s="12">
        <f t="shared" si="12"/>
        <v>2.140625</v>
      </c>
      <c r="J35" s="12">
        <f t="shared" si="12"/>
        <v>2.140625</v>
      </c>
      <c r="K35" s="12">
        <f t="shared" si="12"/>
        <v>2.140625</v>
      </c>
      <c r="L35" s="12">
        <f t="shared" si="12"/>
        <v>2.140625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X35" s="9"/>
      <c r="Y35" s="11"/>
    </row>
    <row r="36" spans="1:25" s="2" customFormat="1" ht="12.75">
      <c r="A36" s="31"/>
      <c r="B36" s="1" t="s">
        <v>28</v>
      </c>
      <c r="C36" s="149"/>
      <c r="D36" s="157">
        <f t="shared" si="12"/>
        <v>3.640125</v>
      </c>
      <c r="E36" s="164">
        <f t="shared" si="12"/>
        <v>3.640125</v>
      </c>
      <c r="F36" s="12">
        <f t="shared" si="12"/>
        <v>3.640125</v>
      </c>
      <c r="G36" s="12">
        <f t="shared" si="12"/>
        <v>3.640125</v>
      </c>
      <c r="H36" s="12">
        <f t="shared" si="12"/>
        <v>3.640125</v>
      </c>
      <c r="I36" s="12">
        <f t="shared" si="12"/>
        <v>3.640125</v>
      </c>
      <c r="J36" s="12">
        <f t="shared" si="12"/>
        <v>3.640125</v>
      </c>
      <c r="K36" s="12">
        <f t="shared" si="12"/>
        <v>3.640125</v>
      </c>
      <c r="L36" s="12">
        <f t="shared" si="12"/>
        <v>3.640125</v>
      </c>
      <c r="M36" s="12">
        <f t="shared" si="12"/>
        <v>3.640125</v>
      </c>
      <c r="N36" s="12"/>
      <c r="O36" s="12"/>
      <c r="P36" s="12"/>
      <c r="Q36" s="12"/>
      <c r="R36" s="12"/>
      <c r="S36" s="12"/>
      <c r="T36" s="12"/>
      <c r="U36" s="12"/>
      <c r="V36" s="12"/>
      <c r="X36" s="9"/>
      <c r="Y36" s="11"/>
    </row>
    <row r="37" spans="1:25" s="2" customFormat="1" ht="12.75">
      <c r="A37" s="31"/>
      <c r="B37" s="1" t="s">
        <v>29</v>
      </c>
      <c r="C37" s="149"/>
      <c r="D37" s="157">
        <f t="shared" si="12"/>
        <v>2.5185</v>
      </c>
      <c r="E37" s="164">
        <f t="shared" si="12"/>
        <v>2.5185</v>
      </c>
      <c r="F37" s="12">
        <f t="shared" si="12"/>
        <v>2.5185</v>
      </c>
      <c r="G37" s="12">
        <f t="shared" si="12"/>
        <v>2.5185</v>
      </c>
      <c r="H37" s="12">
        <f t="shared" si="12"/>
        <v>2.5185</v>
      </c>
      <c r="I37" s="12">
        <f t="shared" si="12"/>
        <v>2.5185</v>
      </c>
      <c r="J37" s="12">
        <f t="shared" si="12"/>
        <v>2.5185</v>
      </c>
      <c r="K37" s="12">
        <f t="shared" si="12"/>
        <v>2.5185</v>
      </c>
      <c r="L37" s="12">
        <f t="shared" si="12"/>
        <v>2.5185</v>
      </c>
      <c r="M37" s="12">
        <f t="shared" si="12"/>
        <v>2.5185</v>
      </c>
      <c r="N37" s="12">
        <f t="shared" si="12"/>
        <v>2.5185</v>
      </c>
      <c r="O37" s="12">
        <f t="shared" si="12"/>
        <v>2.5185</v>
      </c>
      <c r="P37" s="12">
        <f t="shared" si="12"/>
        <v>2.5185</v>
      </c>
      <c r="Q37" s="12">
        <v>1.5</v>
      </c>
      <c r="R37" s="12"/>
      <c r="S37" s="12"/>
      <c r="T37" s="12"/>
      <c r="U37" s="12"/>
      <c r="V37" s="12"/>
      <c r="X37" s="9"/>
      <c r="Y37" s="11"/>
    </row>
    <row r="38" spans="1:25" s="2" customFormat="1" ht="12.75">
      <c r="A38" s="31"/>
      <c r="B38" s="1" t="s">
        <v>30</v>
      </c>
      <c r="C38" s="149"/>
      <c r="D38" s="157">
        <f t="shared" si="12"/>
        <v>4.2</v>
      </c>
      <c r="E38" s="164">
        <f t="shared" si="12"/>
        <v>4.2</v>
      </c>
      <c r="F38" s="12">
        <f t="shared" si="12"/>
        <v>4.2</v>
      </c>
      <c r="G38" s="12">
        <f t="shared" si="12"/>
        <v>4.2</v>
      </c>
      <c r="H38" s="12">
        <f t="shared" si="12"/>
        <v>4.2</v>
      </c>
      <c r="I38" s="12">
        <f t="shared" si="12"/>
        <v>4.2</v>
      </c>
      <c r="J38" s="12">
        <f t="shared" si="12"/>
        <v>4.2</v>
      </c>
      <c r="K38" s="12">
        <f t="shared" si="12"/>
        <v>4.2</v>
      </c>
      <c r="L38" s="12">
        <f t="shared" si="12"/>
        <v>4.2</v>
      </c>
      <c r="M38" s="12">
        <f t="shared" si="12"/>
        <v>4.2</v>
      </c>
      <c r="N38" s="12">
        <f t="shared" si="12"/>
        <v>4.2</v>
      </c>
      <c r="O38" s="12">
        <f t="shared" si="12"/>
        <v>4.2</v>
      </c>
      <c r="P38" s="12">
        <f t="shared" si="12"/>
        <v>4.2</v>
      </c>
      <c r="Q38" s="12">
        <f>+P38*4</f>
        <v>16.8</v>
      </c>
      <c r="R38" s="12">
        <f>+Q38/6</f>
        <v>2.8000000000000003</v>
      </c>
      <c r="S38" s="12"/>
      <c r="T38" s="12"/>
      <c r="U38" s="12"/>
      <c r="V38" s="12"/>
      <c r="X38" s="9"/>
      <c r="Y38" s="11"/>
    </row>
    <row r="39" spans="1:25" s="2" customFormat="1" ht="12.75">
      <c r="A39" s="31"/>
      <c r="B39" s="1" t="s">
        <v>31</v>
      </c>
      <c r="C39" s="149"/>
      <c r="D39" s="157">
        <f t="shared" si="12"/>
        <v>1.769625</v>
      </c>
      <c r="E39" s="164">
        <f t="shared" si="12"/>
        <v>1.769625</v>
      </c>
      <c r="F39" s="12">
        <f t="shared" si="12"/>
        <v>1.769625</v>
      </c>
      <c r="G39" s="12">
        <f t="shared" si="12"/>
        <v>1.769625</v>
      </c>
      <c r="H39" s="12">
        <f t="shared" si="12"/>
        <v>1.769625</v>
      </c>
      <c r="I39" s="12">
        <f t="shared" si="12"/>
        <v>1.769625</v>
      </c>
      <c r="J39" s="12">
        <f t="shared" si="12"/>
        <v>1.769625</v>
      </c>
      <c r="K39" s="12">
        <f t="shared" si="12"/>
        <v>1.769625</v>
      </c>
      <c r="L39" s="12">
        <f t="shared" si="12"/>
        <v>1.769625</v>
      </c>
      <c r="M39" s="12">
        <f t="shared" si="12"/>
        <v>1.769625</v>
      </c>
      <c r="N39" s="12">
        <f t="shared" si="12"/>
        <v>1.769625</v>
      </c>
      <c r="O39" s="12">
        <f t="shared" si="12"/>
        <v>1.769625</v>
      </c>
      <c r="P39" s="12">
        <f t="shared" si="12"/>
        <v>1.769625</v>
      </c>
      <c r="Q39" s="12">
        <f>+P39*4</f>
        <v>7.0785</v>
      </c>
      <c r="R39" s="12">
        <f aca="true" t="shared" si="13" ref="R39:T41">+Q39</f>
        <v>7.0785</v>
      </c>
      <c r="S39" s="12">
        <f t="shared" si="13"/>
        <v>7.0785</v>
      </c>
      <c r="T39" s="12">
        <f t="shared" si="13"/>
        <v>7.0785</v>
      </c>
      <c r="U39" s="12">
        <f>+T39*0.9</f>
        <v>6.37065</v>
      </c>
      <c r="V39" s="12"/>
      <c r="X39" s="9"/>
      <c r="Y39" s="11"/>
    </row>
    <row r="40" spans="1:25" s="2" customFormat="1" ht="12.75">
      <c r="A40" s="31"/>
      <c r="B40" s="1" t="s">
        <v>32</v>
      </c>
      <c r="C40" s="149"/>
      <c r="D40" s="157">
        <f t="shared" si="12"/>
        <v>5.8125</v>
      </c>
      <c r="E40" s="164">
        <f t="shared" si="12"/>
        <v>5.8125</v>
      </c>
      <c r="F40" s="12">
        <f t="shared" si="12"/>
        <v>5.8125</v>
      </c>
      <c r="G40" s="12">
        <f t="shared" si="12"/>
        <v>5.8125</v>
      </c>
      <c r="H40" s="12">
        <f t="shared" si="12"/>
        <v>5.8125</v>
      </c>
      <c r="I40" s="12">
        <f t="shared" si="12"/>
        <v>5.8125</v>
      </c>
      <c r="J40" s="12">
        <f t="shared" si="12"/>
        <v>5.8125</v>
      </c>
      <c r="K40" s="12">
        <f t="shared" si="12"/>
        <v>5.8125</v>
      </c>
      <c r="L40" s="12">
        <f t="shared" si="12"/>
        <v>5.8125</v>
      </c>
      <c r="M40" s="12">
        <f t="shared" si="12"/>
        <v>5.8125</v>
      </c>
      <c r="N40" s="12">
        <f t="shared" si="12"/>
        <v>5.8125</v>
      </c>
      <c r="O40" s="12">
        <f t="shared" si="12"/>
        <v>5.8125</v>
      </c>
      <c r="P40" s="12">
        <f t="shared" si="12"/>
        <v>5.8125</v>
      </c>
      <c r="Q40" s="12">
        <f>+P40*4</f>
        <v>23.25</v>
      </c>
      <c r="R40" s="12">
        <f t="shared" si="13"/>
        <v>23.25</v>
      </c>
      <c r="S40" s="12">
        <f t="shared" si="13"/>
        <v>23.25</v>
      </c>
      <c r="T40" s="12">
        <f t="shared" si="13"/>
        <v>23.25</v>
      </c>
      <c r="U40" s="12">
        <f>+T40</f>
        <v>23.25</v>
      </c>
      <c r="V40" s="12">
        <f>+U40*0.25</f>
        <v>5.8125</v>
      </c>
      <c r="X40" s="9"/>
      <c r="Y40" s="11"/>
    </row>
    <row r="41" spans="1:25" s="2" customFormat="1" ht="12.75">
      <c r="A41" s="31"/>
      <c r="B41" s="1" t="s">
        <v>33</v>
      </c>
      <c r="C41" s="149"/>
      <c r="D41" s="157">
        <f t="shared" si="12"/>
        <v>0.265625</v>
      </c>
      <c r="E41" s="164">
        <f t="shared" si="12"/>
        <v>0.265625</v>
      </c>
      <c r="F41" s="12">
        <f t="shared" si="12"/>
        <v>0.265625</v>
      </c>
      <c r="G41" s="12">
        <f t="shared" si="12"/>
        <v>0.265625</v>
      </c>
      <c r="H41" s="12">
        <f t="shared" si="12"/>
        <v>0.265625</v>
      </c>
      <c r="I41" s="12">
        <f t="shared" si="12"/>
        <v>0.265625</v>
      </c>
      <c r="J41" s="12">
        <f t="shared" si="12"/>
        <v>0.265625</v>
      </c>
      <c r="K41" s="12">
        <f t="shared" si="12"/>
        <v>0.265625</v>
      </c>
      <c r="L41" s="12">
        <f t="shared" si="12"/>
        <v>0.265625</v>
      </c>
      <c r="M41" s="12">
        <f t="shared" si="12"/>
        <v>0.265625</v>
      </c>
      <c r="N41" s="12">
        <f t="shared" si="12"/>
        <v>0.265625</v>
      </c>
      <c r="O41" s="12">
        <f t="shared" si="12"/>
        <v>0.265625</v>
      </c>
      <c r="P41" s="12">
        <f t="shared" si="12"/>
        <v>0.265625</v>
      </c>
      <c r="Q41" s="12">
        <f>+P41*4</f>
        <v>1.0625</v>
      </c>
      <c r="R41" s="12">
        <f t="shared" si="13"/>
        <v>1.0625</v>
      </c>
      <c r="S41" s="12">
        <f t="shared" si="13"/>
        <v>1.0625</v>
      </c>
      <c r="T41" s="12">
        <f t="shared" si="13"/>
        <v>1.0625</v>
      </c>
      <c r="U41" s="12">
        <f>+T41</f>
        <v>1.0625</v>
      </c>
      <c r="V41" s="12">
        <f>+U41</f>
        <v>1.0625</v>
      </c>
      <c r="X41" s="9"/>
      <c r="Y41" s="11"/>
    </row>
    <row r="42" spans="1:25" s="2" customFormat="1" ht="12.75">
      <c r="A42" s="31"/>
      <c r="B42" s="19" t="s">
        <v>101</v>
      </c>
      <c r="C42" s="149"/>
      <c r="D42" s="157">
        <f>35.6-28.7</f>
        <v>6.900000000000002</v>
      </c>
      <c r="E42" s="164">
        <f>32.9-30</f>
        <v>2.8999999999999986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X42" s="9"/>
      <c r="Y42" s="11"/>
    </row>
    <row r="43" spans="1:25" s="2" customFormat="1" ht="12.75">
      <c r="A43" s="31"/>
      <c r="B43" s="19"/>
      <c r="C43" s="149"/>
      <c r="D43" s="157"/>
      <c r="E43" s="16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43" s="9"/>
      <c r="Y43" s="11"/>
    </row>
    <row r="44" spans="1:25" s="2" customFormat="1" ht="12.75">
      <c r="A44" s="31" t="s">
        <v>119</v>
      </c>
      <c r="B44" s="19" t="s">
        <v>115</v>
      </c>
      <c r="C44" s="149"/>
      <c r="D44" s="157"/>
      <c r="E44" s="164">
        <v>1.9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X44" s="9"/>
      <c r="Y44" s="11"/>
    </row>
    <row r="45" spans="1:25" s="2" customFormat="1" ht="12.75">
      <c r="A45" s="31"/>
      <c r="B45" s="25"/>
      <c r="C45" s="149"/>
      <c r="D45" s="157"/>
      <c r="E45" s="16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X45" s="9"/>
      <c r="Y45" s="11"/>
    </row>
    <row r="46" spans="1:25" s="2" customFormat="1" ht="12.75">
      <c r="A46" s="31"/>
      <c r="B46" s="25" t="s">
        <v>117</v>
      </c>
      <c r="C46" s="149"/>
      <c r="D46" s="157">
        <v>27.3</v>
      </c>
      <c r="E46" s="178">
        <v>29.8</v>
      </c>
      <c r="F46" s="12">
        <f>+(125-$E$46)/3</f>
        <v>31.733333333333334</v>
      </c>
      <c r="G46" s="12">
        <f aca="true" t="shared" si="14" ref="G46:P46">+F46</f>
        <v>31.733333333333334</v>
      </c>
      <c r="H46" s="12">
        <f t="shared" si="14"/>
        <v>31.733333333333334</v>
      </c>
      <c r="I46" s="12">
        <v>35</v>
      </c>
      <c r="J46" s="12">
        <f t="shared" si="14"/>
        <v>35</v>
      </c>
      <c r="K46" s="12">
        <f t="shared" si="14"/>
        <v>35</v>
      </c>
      <c r="L46" s="12">
        <f t="shared" si="14"/>
        <v>35</v>
      </c>
      <c r="M46" s="12">
        <f t="shared" si="14"/>
        <v>35</v>
      </c>
      <c r="N46" s="12">
        <f t="shared" si="14"/>
        <v>35</v>
      </c>
      <c r="O46" s="12">
        <f t="shared" si="14"/>
        <v>35</v>
      </c>
      <c r="P46" s="12">
        <f t="shared" si="14"/>
        <v>35</v>
      </c>
      <c r="Q46" s="12">
        <f>+P46*4</f>
        <v>140</v>
      </c>
      <c r="R46" s="12">
        <f>+Q46</f>
        <v>140</v>
      </c>
      <c r="S46" s="12">
        <f>+R46</f>
        <v>140</v>
      </c>
      <c r="T46" s="12">
        <f>+S46</f>
        <v>140</v>
      </c>
      <c r="U46" s="12">
        <f>+T46</f>
        <v>140</v>
      </c>
      <c r="V46" s="12">
        <f>+U46</f>
        <v>140</v>
      </c>
      <c r="X46" s="9"/>
      <c r="Y46" s="11"/>
    </row>
    <row r="47" spans="1:25" s="2" customFormat="1" ht="12.75">
      <c r="A47" s="31"/>
      <c r="C47" s="149"/>
      <c r="D47" s="157"/>
      <c r="E47" s="16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X47" s="9"/>
      <c r="Y47" s="11"/>
    </row>
    <row r="48" spans="1:25" s="2" customFormat="1" ht="12.75">
      <c r="A48" s="31"/>
      <c r="B48" s="25" t="s">
        <v>71</v>
      </c>
      <c r="C48" s="149"/>
      <c r="D48" s="157">
        <v>14.7</v>
      </c>
      <c r="E48" s="164">
        <v>8.2</v>
      </c>
      <c r="F48" s="12">
        <v>12.5</v>
      </c>
      <c r="G48" s="12">
        <f aca="true" t="shared" si="15" ref="G48:P48">+F48</f>
        <v>12.5</v>
      </c>
      <c r="H48" s="12">
        <f t="shared" si="15"/>
        <v>12.5</v>
      </c>
      <c r="I48" s="12">
        <f t="shared" si="15"/>
        <v>12.5</v>
      </c>
      <c r="J48" s="12">
        <f t="shared" si="15"/>
        <v>12.5</v>
      </c>
      <c r="K48" s="12">
        <f t="shared" si="15"/>
        <v>12.5</v>
      </c>
      <c r="L48" s="12">
        <f t="shared" si="15"/>
        <v>12.5</v>
      </c>
      <c r="M48" s="12">
        <f t="shared" si="15"/>
        <v>12.5</v>
      </c>
      <c r="N48" s="12">
        <f t="shared" si="15"/>
        <v>12.5</v>
      </c>
      <c r="O48" s="12">
        <f t="shared" si="15"/>
        <v>12.5</v>
      </c>
      <c r="P48" s="12">
        <f t="shared" si="15"/>
        <v>12.5</v>
      </c>
      <c r="Q48" s="12">
        <f>+P48*4</f>
        <v>50</v>
      </c>
      <c r="R48" s="12">
        <f>+Q48</f>
        <v>50</v>
      </c>
      <c r="S48" s="12">
        <f>+R48</f>
        <v>50</v>
      </c>
      <c r="T48" s="12">
        <f>+S48</f>
        <v>50</v>
      </c>
      <c r="U48" s="12">
        <f>+T48</f>
        <v>50</v>
      </c>
      <c r="V48" s="12">
        <f>+U48</f>
        <v>50</v>
      </c>
      <c r="X48" s="9"/>
      <c r="Y48" s="11"/>
    </row>
    <row r="49" spans="1:25" s="2" customFormat="1" ht="12.75">
      <c r="A49" s="31" t="s">
        <v>119</v>
      </c>
      <c r="B49" s="25" t="s">
        <v>116</v>
      </c>
      <c r="C49" s="149"/>
      <c r="D49" s="157">
        <v>0</v>
      </c>
      <c r="E49" s="164">
        <v>13.036</v>
      </c>
      <c r="F49" s="12">
        <v>0</v>
      </c>
      <c r="G49" s="12">
        <v>0</v>
      </c>
      <c r="H49" s="12">
        <v>0</v>
      </c>
      <c r="I49" s="27">
        <v>13</v>
      </c>
      <c r="J49" s="12">
        <v>0</v>
      </c>
      <c r="K49" s="12">
        <v>0</v>
      </c>
      <c r="L49" s="12">
        <v>0</v>
      </c>
      <c r="M49" s="27">
        <v>13</v>
      </c>
      <c r="N49" s="12">
        <v>0</v>
      </c>
      <c r="O49" s="12">
        <v>0</v>
      </c>
      <c r="P49" s="12">
        <v>0</v>
      </c>
      <c r="Q49" s="27">
        <v>13</v>
      </c>
      <c r="R49" s="27">
        <v>13</v>
      </c>
      <c r="S49" s="12">
        <v>0</v>
      </c>
      <c r="T49" s="12">
        <v>0</v>
      </c>
      <c r="U49" s="12">
        <v>0</v>
      </c>
      <c r="V49" s="12">
        <v>0</v>
      </c>
      <c r="X49" s="9"/>
      <c r="Y49" s="11"/>
    </row>
    <row r="50" spans="1:25" s="2" customFormat="1" ht="12.75">
      <c r="A50" s="31" t="s">
        <v>119</v>
      </c>
      <c r="B50" s="25" t="s">
        <v>118</v>
      </c>
      <c r="C50" s="149"/>
      <c r="D50" s="157"/>
      <c r="E50" s="164">
        <f>42.736+(315.3-310.1)</f>
        <v>47.935999999999986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X50" s="9"/>
      <c r="Y50" s="11"/>
    </row>
    <row r="51" spans="1:25" s="2" customFormat="1" ht="12.75">
      <c r="A51" s="31"/>
      <c r="C51" s="149"/>
      <c r="D51" s="157"/>
      <c r="E51" s="16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X51" s="9"/>
      <c r="Y51" s="11"/>
    </row>
    <row r="52" spans="1:25" s="2" customFormat="1" ht="12.75">
      <c r="A52" s="31"/>
      <c r="B52" s="25" t="s">
        <v>102</v>
      </c>
      <c r="C52" s="149"/>
      <c r="D52" s="157">
        <v>2.9</v>
      </c>
      <c r="E52" s="164"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X52" s="9"/>
      <c r="Y52" s="11"/>
    </row>
    <row r="53" spans="1:25" s="2" customFormat="1" ht="12.75">
      <c r="A53" s="31"/>
      <c r="B53" s="2" t="s">
        <v>103</v>
      </c>
      <c r="C53" s="149"/>
      <c r="D53" s="157">
        <v>0.5</v>
      </c>
      <c r="E53" s="16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X53" s="9"/>
      <c r="Y53" s="11"/>
    </row>
    <row r="54" spans="1:25" s="2" customFormat="1" ht="12.75">
      <c r="A54" s="31"/>
      <c r="B54" s="25" t="s">
        <v>19</v>
      </c>
      <c r="C54" s="150" t="s">
        <v>107</v>
      </c>
      <c r="D54" s="157">
        <v>10</v>
      </c>
      <c r="E54" s="164">
        <v>0</v>
      </c>
      <c r="F54" s="12">
        <v>0</v>
      </c>
      <c r="G54" s="12">
        <f aca="true" t="shared" si="16" ref="G54:P54">+F54</f>
        <v>0</v>
      </c>
      <c r="H54" s="12">
        <f t="shared" si="16"/>
        <v>0</v>
      </c>
      <c r="I54" s="12">
        <f t="shared" si="16"/>
        <v>0</v>
      </c>
      <c r="J54" s="12">
        <f t="shared" si="16"/>
        <v>0</v>
      </c>
      <c r="K54" s="12">
        <f t="shared" si="16"/>
        <v>0</v>
      </c>
      <c r="L54" s="12">
        <f t="shared" si="16"/>
        <v>0</v>
      </c>
      <c r="M54" s="12">
        <f t="shared" si="16"/>
        <v>0</v>
      </c>
      <c r="N54" s="12">
        <f t="shared" si="16"/>
        <v>0</v>
      </c>
      <c r="O54" s="12">
        <f t="shared" si="16"/>
        <v>0</v>
      </c>
      <c r="P54" s="12">
        <f t="shared" si="16"/>
        <v>0</v>
      </c>
      <c r="Q54" s="12">
        <f>+P54*4</f>
        <v>0</v>
      </c>
      <c r="R54" s="12">
        <f>+Q54</f>
        <v>0</v>
      </c>
      <c r="S54" s="12">
        <f>+R54</f>
        <v>0</v>
      </c>
      <c r="T54" s="12">
        <f>+S54</f>
        <v>0</v>
      </c>
      <c r="U54" s="12">
        <f>+T54</f>
        <v>0</v>
      </c>
      <c r="V54" s="12">
        <f>+U54</f>
        <v>0</v>
      </c>
      <c r="X54" s="9"/>
      <c r="Y54" s="11"/>
    </row>
    <row r="55" spans="1:25" s="2" customFormat="1" ht="12.75">
      <c r="A55" s="31"/>
      <c r="C55" s="150"/>
      <c r="D55" s="13"/>
      <c r="E55" s="17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X55" s="9"/>
      <c r="Y55" s="11"/>
    </row>
    <row r="56" spans="1:25" s="26" customFormat="1" ht="12.75">
      <c r="A56" s="32" t="s">
        <v>40</v>
      </c>
      <c r="B56" s="25" t="s">
        <v>21</v>
      </c>
      <c r="C56" s="151"/>
      <c r="D56" s="38">
        <f>SUM(D28:D55)</f>
        <v>90.9595</v>
      </c>
      <c r="E56" s="168">
        <f>SUM(E28:E55)</f>
        <v>133.8055</v>
      </c>
      <c r="F56" s="27">
        <f aca="true" t="shared" si="17" ref="F56:R56">SUM(F28:F55)</f>
        <v>73.97933333333333</v>
      </c>
      <c r="G56" s="27">
        <f t="shared" si="17"/>
        <v>73.69183333333334</v>
      </c>
      <c r="H56" s="27">
        <f t="shared" si="17"/>
        <v>73.40433333333334</v>
      </c>
      <c r="I56" s="27">
        <f t="shared" si="17"/>
        <v>88.069</v>
      </c>
      <c r="J56" s="27">
        <f t="shared" si="17"/>
        <v>72.8345</v>
      </c>
      <c r="K56" s="27">
        <f t="shared" si="17"/>
        <v>70.72200000000001</v>
      </c>
      <c r="L56" s="27">
        <f t="shared" si="17"/>
        <v>68.747</v>
      </c>
      <c r="M56" s="27">
        <f t="shared" si="17"/>
        <v>80.356375</v>
      </c>
      <c r="N56" s="27">
        <f t="shared" si="17"/>
        <v>63.71625</v>
      </c>
      <c r="O56" s="27">
        <f t="shared" si="17"/>
        <v>63.71625</v>
      </c>
      <c r="P56" s="27">
        <f t="shared" si="17"/>
        <v>63.71625</v>
      </c>
      <c r="Q56" s="27">
        <f t="shared" si="17"/>
        <v>252.691</v>
      </c>
      <c r="R56" s="27">
        <f t="shared" si="17"/>
        <v>237.191</v>
      </c>
      <c r="S56" s="27">
        <f>SUM(S28:S55)</f>
        <v>221.391</v>
      </c>
      <c r="T56" s="27">
        <f>SUM(T28:T55)</f>
        <v>221.391</v>
      </c>
      <c r="U56" s="27">
        <f>SUM(U28:U55)</f>
        <v>220.68315</v>
      </c>
      <c r="V56" s="27">
        <f>SUM(V28:V55)</f>
        <v>196.875</v>
      </c>
      <c r="X56" s="28"/>
      <c r="Y56" s="29"/>
    </row>
    <row r="57" spans="1:25" s="26" customFormat="1" ht="12.75">
      <c r="A57" s="32"/>
      <c r="B57" s="25"/>
      <c r="C57" s="151"/>
      <c r="D57" s="38"/>
      <c r="E57" s="168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X57" s="28"/>
      <c r="Y57" s="29"/>
    </row>
    <row r="58" spans="1:25" s="26" customFormat="1" ht="12.75">
      <c r="A58" s="32"/>
      <c r="B58" s="3" t="s">
        <v>35</v>
      </c>
      <c r="C58" s="145"/>
      <c r="D58" s="157">
        <v>52</v>
      </c>
      <c r="E58" s="168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X58" s="28"/>
      <c r="Y58" s="29"/>
    </row>
    <row r="59" spans="1:25" s="2" customFormat="1" ht="12.75">
      <c r="A59" s="31"/>
      <c r="B59" s="3" t="s">
        <v>54</v>
      </c>
      <c r="C59" s="145"/>
      <c r="D59" s="13">
        <v>72</v>
      </c>
      <c r="E59" s="17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X59" s="9"/>
      <c r="Y59" s="11"/>
    </row>
    <row r="60" spans="1:25" s="26" customFormat="1" ht="13.5" thickBot="1">
      <c r="A60" s="32" t="s">
        <v>41</v>
      </c>
      <c r="B60" s="25" t="s">
        <v>43</v>
      </c>
      <c r="C60" s="152" t="s">
        <v>44</v>
      </c>
      <c r="D60" s="33">
        <f>+D23-D56+D59+D58</f>
        <v>180.15050000000002</v>
      </c>
      <c r="E60" s="171">
        <f aca="true" t="shared" si="18" ref="E60:V60">+E23-E56</f>
        <v>12.194500000000005</v>
      </c>
      <c r="F60" s="33">
        <f t="shared" si="18"/>
        <v>67.9963266666667</v>
      </c>
      <c r="G60" s="33">
        <f t="shared" si="18"/>
        <v>63.44468980066668</v>
      </c>
      <c r="H60" s="33">
        <f t="shared" si="18"/>
        <v>59.19939945258966</v>
      </c>
      <c r="I60" s="33">
        <f t="shared" si="18"/>
        <v>41.14283827286208</v>
      </c>
      <c r="J60" s="33">
        <f t="shared" si="18"/>
        <v>52.37834402395721</v>
      </c>
      <c r="K60" s="33">
        <f t="shared" si="18"/>
        <v>50.759699531655585</v>
      </c>
      <c r="L60" s="33">
        <f t="shared" si="18"/>
        <v>50.00079231671158</v>
      </c>
      <c r="M60" s="33">
        <f t="shared" si="18"/>
        <v>35.836555989425236</v>
      </c>
      <c r="N60" s="33">
        <f t="shared" si="18"/>
        <v>50.0943094950691</v>
      </c>
      <c r="O60" s="33">
        <f t="shared" si="18"/>
        <v>47.87818998952113</v>
      </c>
      <c r="P60" s="33">
        <f t="shared" si="18"/>
        <v>45.822389507242576</v>
      </c>
      <c r="Q60" s="142">
        <f t="shared" si="18"/>
        <v>185.4635580289703</v>
      </c>
      <c r="R60" s="142">
        <f t="shared" si="18"/>
        <v>187.9064410073086</v>
      </c>
      <c r="S60" s="142">
        <f t="shared" si="18"/>
        <v>211.6683441441497</v>
      </c>
      <c r="T60" s="142">
        <f t="shared" si="18"/>
        <v>236.44929239550837</v>
      </c>
      <c r="U60" s="142">
        <f t="shared" si="18"/>
        <v>277.2063944785217</v>
      </c>
      <c r="V60" s="142">
        <f t="shared" si="18"/>
        <v>347.0711843739871</v>
      </c>
      <c r="X60" s="28"/>
      <c r="Y60" s="29"/>
    </row>
    <row r="61" spans="1:25" s="26" customFormat="1" ht="13.5" thickTop="1">
      <c r="A61" s="32"/>
      <c r="B61" s="25"/>
      <c r="C61" s="152"/>
      <c r="D61" s="38"/>
      <c r="E61" s="16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X61" s="28"/>
      <c r="Y61" s="29"/>
    </row>
    <row r="62" spans="1:25" s="26" customFormat="1" ht="12.75">
      <c r="A62" s="32"/>
      <c r="B62" s="25"/>
      <c r="C62" s="152"/>
      <c r="D62" s="38"/>
      <c r="E62" s="16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X62" s="28"/>
      <c r="Y62" s="29"/>
    </row>
    <row r="63" spans="1:25" s="26" customFormat="1" ht="12.75">
      <c r="A63" s="32"/>
      <c r="B63" s="25"/>
      <c r="C63" s="152"/>
      <c r="D63" s="38"/>
      <c r="E63" s="16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X63" s="28"/>
      <c r="Y63" s="29"/>
    </row>
    <row r="64" spans="1:25" s="26" customFormat="1" ht="12.75">
      <c r="A64" s="32"/>
      <c r="B64" s="25"/>
      <c r="C64" s="152"/>
      <c r="D64" s="38"/>
      <c r="E64" s="16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X64" s="28"/>
      <c r="Y64" s="29"/>
    </row>
    <row r="65" spans="1:25" s="2" customFormat="1" ht="12.75">
      <c r="A65" s="31"/>
      <c r="B65" s="3"/>
      <c r="C65" s="145"/>
      <c r="D65" s="157"/>
      <c r="E65" s="164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X65" s="39" t="s">
        <v>55</v>
      </c>
      <c r="Y65" s="40" t="s">
        <v>49</v>
      </c>
    </row>
    <row r="66" spans="2:25" ht="12.75">
      <c r="B66" s="54" t="s">
        <v>22</v>
      </c>
      <c r="C66" s="4"/>
      <c r="D66" s="158"/>
      <c r="E66" s="172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X66" s="41" t="s">
        <v>22</v>
      </c>
      <c r="Y66" s="42" t="s">
        <v>48</v>
      </c>
    </row>
    <row r="67" spans="1:25" ht="12.75">
      <c r="A67" s="17" t="s">
        <v>42</v>
      </c>
      <c r="B67" s="1" t="s">
        <v>87</v>
      </c>
      <c r="C67" s="153">
        <v>250</v>
      </c>
      <c r="D67" s="158">
        <v>45</v>
      </c>
      <c r="E67" s="172">
        <v>25</v>
      </c>
      <c r="F67" s="14">
        <v>25</v>
      </c>
      <c r="G67" s="14">
        <v>25</v>
      </c>
      <c r="H67" s="14">
        <v>25</v>
      </c>
      <c r="I67" s="14">
        <f>250-(+D67+E67+F67+G67+H67)</f>
        <v>105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X67" s="10">
        <f>+C67-D67-E67</f>
        <v>180</v>
      </c>
      <c r="Y67" s="5">
        <f>+X67*0.044</f>
        <v>7.92</v>
      </c>
    </row>
    <row r="68" spans="1:25" ht="12.75">
      <c r="A68" s="17" t="s">
        <v>42</v>
      </c>
      <c r="B68" s="1" t="s">
        <v>88</v>
      </c>
      <c r="C68" s="153">
        <v>16</v>
      </c>
      <c r="D68" s="158">
        <v>16</v>
      </c>
      <c r="E68" s="173">
        <v>-239</v>
      </c>
      <c r="F68" s="14"/>
      <c r="G68" s="14"/>
      <c r="H68" s="14"/>
      <c r="I68" s="36">
        <v>239</v>
      </c>
      <c r="J68" s="14"/>
      <c r="K68" s="14"/>
      <c r="L68" s="14"/>
      <c r="M68" s="143">
        <v>-150</v>
      </c>
      <c r="N68" s="14"/>
      <c r="O68" s="14"/>
      <c r="P68" s="143">
        <v>150</v>
      </c>
      <c r="Q68" s="14"/>
      <c r="R68" s="14"/>
      <c r="S68" s="14"/>
      <c r="T68" s="14"/>
      <c r="U68" s="14"/>
      <c r="V68" s="14"/>
      <c r="X68" s="10">
        <v>239</v>
      </c>
      <c r="Y68" s="5">
        <f>+X68*0.044</f>
        <v>10.516</v>
      </c>
    </row>
    <row r="69" spans="1:24" ht="12.75">
      <c r="A69" s="17" t="s">
        <v>42</v>
      </c>
      <c r="B69" s="1" t="s">
        <v>25</v>
      </c>
      <c r="C69" s="153">
        <v>35</v>
      </c>
      <c r="D69" s="158">
        <v>35</v>
      </c>
      <c r="E69" s="172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X69" s="10">
        <f>+C69-D69</f>
        <v>0</v>
      </c>
    </row>
    <row r="70" spans="1:22" ht="12.75">
      <c r="A70" s="17"/>
      <c r="B70" s="1" t="s">
        <v>114</v>
      </c>
      <c r="C70" s="153"/>
      <c r="D70" s="158"/>
      <c r="E70" s="172">
        <v>0.3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5" ht="12.75">
      <c r="A71" s="17" t="s">
        <v>42</v>
      </c>
      <c r="B71" s="102" t="s">
        <v>34</v>
      </c>
      <c r="C71" s="154">
        <f>+X71</f>
        <v>184</v>
      </c>
      <c r="D71" s="158"/>
      <c r="E71" s="172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>
        <v>184</v>
      </c>
      <c r="T71" s="14"/>
      <c r="U71" s="14"/>
      <c r="V71" s="14"/>
      <c r="X71" s="10">
        <f aca="true" t="shared" si="19" ref="X71:X80">SUM(D71:W71)</f>
        <v>184</v>
      </c>
      <c r="Y71" s="5">
        <f>+X71*0.0625</f>
        <v>11.5</v>
      </c>
    </row>
    <row r="72" spans="1:22" ht="12.75">
      <c r="A72" s="17" t="s">
        <v>42</v>
      </c>
      <c r="B72" s="19" t="s">
        <v>14</v>
      </c>
      <c r="C72" s="153"/>
      <c r="D72" s="158"/>
      <c r="E72" s="172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5" ht="12.75">
      <c r="A73" s="17" t="s">
        <v>42</v>
      </c>
      <c r="B73" s="7" t="s">
        <v>27</v>
      </c>
      <c r="C73" s="154">
        <v>130</v>
      </c>
      <c r="D73" s="158"/>
      <c r="E73" s="172"/>
      <c r="F73" s="14"/>
      <c r="G73" s="14"/>
      <c r="H73" s="14"/>
      <c r="I73" s="14"/>
      <c r="J73" s="14"/>
      <c r="K73" s="14">
        <v>130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X73" s="10">
        <f t="shared" si="19"/>
        <v>130</v>
      </c>
      <c r="Y73" s="5">
        <f>+X73*0.065</f>
        <v>8.450000000000001</v>
      </c>
    </row>
    <row r="74" spans="1:25" ht="12.75">
      <c r="A74" s="17" t="s">
        <v>42</v>
      </c>
      <c r="B74" s="1" t="s">
        <v>26</v>
      </c>
      <c r="C74" s="154">
        <v>125</v>
      </c>
      <c r="D74" s="158"/>
      <c r="E74" s="172"/>
      <c r="F74" s="14"/>
      <c r="G74" s="14"/>
      <c r="H74" s="14"/>
      <c r="I74" s="14"/>
      <c r="J74" s="14"/>
      <c r="K74" s="14"/>
      <c r="L74" s="14">
        <v>125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X74" s="10">
        <f t="shared" si="19"/>
        <v>125</v>
      </c>
      <c r="Y74" s="5">
        <f>+X74*0.0685</f>
        <v>8.5625</v>
      </c>
    </row>
    <row r="75" spans="1:25" ht="12.75">
      <c r="A75" s="17" t="s">
        <v>42</v>
      </c>
      <c r="B75" s="1" t="s">
        <v>28</v>
      </c>
      <c r="C75" s="154">
        <v>255</v>
      </c>
      <c r="D75" s="158"/>
      <c r="E75" s="172"/>
      <c r="F75" s="14"/>
      <c r="G75" s="14"/>
      <c r="H75" s="14"/>
      <c r="I75" s="14"/>
      <c r="J75" s="14"/>
      <c r="K75" s="14"/>
      <c r="L75" s="14"/>
      <c r="M75" s="14"/>
      <c r="N75" s="14">
        <v>255</v>
      </c>
      <c r="O75" s="14"/>
      <c r="P75" s="14"/>
      <c r="Q75" s="14"/>
      <c r="R75" s="14"/>
      <c r="S75" s="14"/>
      <c r="T75" s="14"/>
      <c r="U75" s="14"/>
      <c r="V75" s="14"/>
      <c r="X75" s="10">
        <f t="shared" si="19"/>
        <v>255</v>
      </c>
      <c r="Y75" s="5">
        <f>+X75*0.0571</f>
        <v>14.5605</v>
      </c>
    </row>
    <row r="76" spans="1:25" ht="12.75">
      <c r="A76" s="17" t="s">
        <v>42</v>
      </c>
      <c r="B76" s="1" t="s">
        <v>29</v>
      </c>
      <c r="C76" s="154">
        <v>138</v>
      </c>
      <c r="D76" s="158"/>
      <c r="E76" s="172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>
        <v>138</v>
      </c>
      <c r="R76" s="14"/>
      <c r="S76" s="14"/>
      <c r="T76" s="14"/>
      <c r="U76" s="14"/>
      <c r="V76" s="14"/>
      <c r="X76" s="10">
        <f t="shared" si="19"/>
        <v>138</v>
      </c>
      <c r="Y76" s="5">
        <f>+X76*0.073</f>
        <v>10.074</v>
      </c>
    </row>
    <row r="77" spans="1:25" ht="12.75">
      <c r="A77" s="17" t="s">
        <v>42</v>
      </c>
      <c r="B77" s="1" t="s">
        <v>30</v>
      </c>
      <c r="C77" s="154">
        <v>320</v>
      </c>
      <c r="D77" s="158"/>
      <c r="E77" s="172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>
        <v>320</v>
      </c>
      <c r="S77" s="14"/>
      <c r="T77" s="14"/>
      <c r="U77" s="14"/>
      <c r="V77" s="14"/>
      <c r="X77" s="10">
        <f t="shared" si="19"/>
        <v>320</v>
      </c>
      <c r="Y77" s="5">
        <f>+X77*0.0525</f>
        <v>16.8</v>
      </c>
    </row>
    <row r="78" spans="1:25" ht="12.75">
      <c r="A78" s="17" t="s">
        <v>42</v>
      </c>
      <c r="B78" s="1" t="s">
        <v>31</v>
      </c>
      <c r="C78" s="154">
        <v>121</v>
      </c>
      <c r="D78" s="158"/>
      <c r="E78" s="172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121</v>
      </c>
      <c r="V78" s="14"/>
      <c r="X78" s="10">
        <f t="shared" si="19"/>
        <v>121</v>
      </c>
      <c r="Y78" s="5">
        <f>+X78*0.0585</f>
        <v>7.0785</v>
      </c>
    </row>
    <row r="79" spans="1:25" ht="12.75">
      <c r="A79" s="17" t="s">
        <v>42</v>
      </c>
      <c r="B79" s="1" t="s">
        <v>32</v>
      </c>
      <c r="C79" s="154">
        <v>300</v>
      </c>
      <c r="D79" s="158"/>
      <c r="E79" s="172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>
        <v>300</v>
      </c>
      <c r="X79" s="10">
        <f t="shared" si="19"/>
        <v>300</v>
      </c>
      <c r="Y79" s="5">
        <f>+X79*0.0775</f>
        <v>23.25</v>
      </c>
    </row>
    <row r="80" spans="1:25" ht="12.75">
      <c r="A80" s="17" t="s">
        <v>42</v>
      </c>
      <c r="B80" s="1" t="s">
        <v>33</v>
      </c>
      <c r="C80" s="154">
        <v>17</v>
      </c>
      <c r="D80" s="158"/>
      <c r="E80" s="172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v>17</v>
      </c>
      <c r="X80" s="10">
        <f t="shared" si="19"/>
        <v>17</v>
      </c>
      <c r="Y80" s="5">
        <f>+X80*0.0625</f>
        <v>1.0625</v>
      </c>
    </row>
    <row r="81" spans="2:22" ht="12.75">
      <c r="B81" s="19" t="s">
        <v>69</v>
      </c>
      <c r="C81" s="35">
        <f>SUM(C67:C80)</f>
        <v>1891</v>
      </c>
      <c r="D81" s="158"/>
      <c r="E81" s="172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5" s="16" customFormat="1" ht="13.5" thickBot="1">
      <c r="A82" s="17" t="s">
        <v>45</v>
      </c>
      <c r="B82" s="16" t="s">
        <v>53</v>
      </c>
      <c r="C82" s="155" t="s">
        <v>51</v>
      </c>
      <c r="D82" s="118">
        <f aca="true" t="shared" si="20" ref="D82:R82">-SUM(D65:D81)+D60</f>
        <v>84.15050000000002</v>
      </c>
      <c r="E82" s="174">
        <f t="shared" si="20"/>
        <v>225.8945</v>
      </c>
      <c r="F82" s="118">
        <f t="shared" si="20"/>
        <v>42.996326666666704</v>
      </c>
      <c r="G82" s="118">
        <f t="shared" si="20"/>
        <v>38.44468980066668</v>
      </c>
      <c r="H82" s="118">
        <f t="shared" si="20"/>
        <v>34.19939945258966</v>
      </c>
      <c r="I82" s="118">
        <f t="shared" si="20"/>
        <v>-302.8571617271379</v>
      </c>
      <c r="J82" s="118">
        <f t="shared" si="20"/>
        <v>52.37834402395721</v>
      </c>
      <c r="K82" s="118">
        <f t="shared" si="20"/>
        <v>-79.24030046834442</v>
      </c>
      <c r="L82" s="118">
        <f t="shared" si="20"/>
        <v>-74.99920768328842</v>
      </c>
      <c r="M82" s="118">
        <f t="shared" si="20"/>
        <v>185.83655598942522</v>
      </c>
      <c r="N82" s="118">
        <f t="shared" si="20"/>
        <v>-204.9056905049309</v>
      </c>
      <c r="O82" s="118">
        <f t="shared" si="20"/>
        <v>47.87818998952113</v>
      </c>
      <c r="P82" s="118">
        <f t="shared" si="20"/>
        <v>-104.17761049275742</v>
      </c>
      <c r="Q82" s="118">
        <f t="shared" si="20"/>
        <v>47.46355802897031</v>
      </c>
      <c r="R82" s="118">
        <f t="shared" si="20"/>
        <v>-132.0935589926914</v>
      </c>
      <c r="S82" s="118">
        <f>-SUM(S65:S81)+S60</f>
        <v>27.6683441441497</v>
      </c>
      <c r="T82" s="118">
        <f>-SUM(T65:T81)+T60</f>
        <v>236.44929239550837</v>
      </c>
      <c r="U82" s="118">
        <f>-SUM(U65:U81)+U60</f>
        <v>156.2063944785217</v>
      </c>
      <c r="V82" s="118">
        <f>-SUM(V65:V81)+V60</f>
        <v>30.07118437398708</v>
      </c>
      <c r="W82" s="35"/>
      <c r="X82" s="57">
        <f>SUM(X65:X81)</f>
        <v>2009</v>
      </c>
      <c r="Y82" s="57">
        <f>SUM(Y65:Y81)</f>
        <v>119.774</v>
      </c>
    </row>
    <row r="83" spans="3:23" ht="14.25" thickBot="1" thickTop="1">
      <c r="C83" s="4"/>
      <c r="D83" s="158"/>
      <c r="E83" s="172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4"/>
    </row>
    <row r="84" spans="1:25" s="16" customFormat="1" ht="13.5" thickBot="1">
      <c r="A84" s="115" t="s">
        <v>52</v>
      </c>
      <c r="B84" s="116" t="s">
        <v>23</v>
      </c>
      <c r="C84" s="156"/>
      <c r="D84" s="159">
        <f>+D82</f>
        <v>84.15050000000002</v>
      </c>
      <c r="E84" s="119">
        <f>+D84+E82</f>
        <v>310.045</v>
      </c>
      <c r="F84" s="120">
        <f aca="true" t="shared" si="21" ref="F84:R84">+E84+F82</f>
        <v>353.0413266666667</v>
      </c>
      <c r="G84" s="120">
        <f t="shared" si="21"/>
        <v>391.48601646733334</v>
      </c>
      <c r="H84" s="120">
        <f t="shared" si="21"/>
        <v>425.685415919923</v>
      </c>
      <c r="I84" s="120">
        <f t="shared" si="21"/>
        <v>122.8282541927851</v>
      </c>
      <c r="J84" s="120">
        <f t="shared" si="21"/>
        <v>175.2065982167423</v>
      </c>
      <c r="K84" s="120">
        <f t="shared" si="21"/>
        <v>95.96629774839788</v>
      </c>
      <c r="L84" s="121">
        <f t="shared" si="21"/>
        <v>20.96709006510946</v>
      </c>
      <c r="M84" s="120">
        <f t="shared" si="21"/>
        <v>206.80364605453468</v>
      </c>
      <c r="N84" s="121">
        <f t="shared" si="21"/>
        <v>1.897955549603779</v>
      </c>
      <c r="O84" s="120">
        <f t="shared" si="21"/>
        <v>49.77614553912491</v>
      </c>
      <c r="P84" s="120">
        <f t="shared" si="21"/>
        <v>-54.40146495363251</v>
      </c>
      <c r="Q84" s="120">
        <f t="shared" si="21"/>
        <v>-6.937906924662201</v>
      </c>
      <c r="R84" s="121">
        <f t="shared" si="21"/>
        <v>-139.03146591735361</v>
      </c>
      <c r="S84" s="140">
        <f>+R84+S82</f>
        <v>-111.36312177320391</v>
      </c>
      <c r="T84" s="140">
        <f>+S84+T82</f>
        <v>125.08617062230445</v>
      </c>
      <c r="U84" s="140">
        <f>+T84+U82</f>
        <v>281.29256510082615</v>
      </c>
      <c r="V84" s="140">
        <f>+U84+V82</f>
        <v>311.36374947481323</v>
      </c>
      <c r="W84" s="35"/>
      <c r="X84" s="37"/>
      <c r="Y84" s="18"/>
    </row>
    <row r="85" spans="1:25" s="16" customFormat="1" ht="12.75">
      <c r="A85" s="17"/>
      <c r="D85" s="105"/>
      <c r="E85" s="36"/>
      <c r="F85" s="36"/>
      <c r="G85" s="36"/>
      <c r="H85" s="36"/>
      <c r="I85" s="36"/>
      <c r="J85" s="36"/>
      <c r="K85" s="36"/>
      <c r="L85" s="105"/>
      <c r="M85" s="36"/>
      <c r="N85" s="105"/>
      <c r="O85" s="36"/>
      <c r="P85" s="36"/>
      <c r="Q85" s="36"/>
      <c r="R85" s="36"/>
      <c r="S85" s="36"/>
      <c r="T85" s="36"/>
      <c r="U85" s="36"/>
      <c r="V85" s="36"/>
      <c r="W85" s="35"/>
      <c r="X85" s="37"/>
      <c r="Y85" s="18"/>
    </row>
    <row r="86" spans="1:25" s="16" customFormat="1" ht="12.75">
      <c r="A86" s="17"/>
      <c r="B86" s="123" t="s">
        <v>104</v>
      </c>
      <c r="C86" s="124"/>
      <c r="D86" s="125"/>
      <c r="E86" s="125">
        <f>+((+G95+G96+G97)/4)</f>
        <v>5.584875</v>
      </c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6"/>
      <c r="S86" s="141"/>
      <c r="T86" s="141"/>
      <c r="U86" s="141"/>
      <c r="V86" s="141"/>
      <c r="W86" s="35"/>
      <c r="X86" s="37"/>
      <c r="Y86" s="18"/>
    </row>
    <row r="87" spans="1:25" s="16" customFormat="1" ht="12.75">
      <c r="A87" s="17"/>
      <c r="D87" s="105"/>
      <c r="E87" s="36"/>
      <c r="F87" s="36"/>
      <c r="G87" s="36"/>
      <c r="H87" s="36"/>
      <c r="I87" s="36"/>
      <c r="J87" s="36"/>
      <c r="K87" s="36"/>
      <c r="L87" s="105"/>
      <c r="M87" s="36"/>
      <c r="N87" s="105"/>
      <c r="O87" s="36"/>
      <c r="P87" s="36"/>
      <c r="Q87" s="36"/>
      <c r="R87" s="36"/>
      <c r="S87" s="36"/>
      <c r="T87" s="36"/>
      <c r="U87" s="36"/>
      <c r="V87" s="36"/>
      <c r="W87" s="35"/>
      <c r="X87" s="37"/>
      <c r="Y87" s="18"/>
    </row>
    <row r="88" ht="12.75">
      <c r="B88" s="55" t="s">
        <v>50</v>
      </c>
    </row>
    <row r="89" spans="2:21" ht="12.75">
      <c r="B89" s="55"/>
      <c r="U89" t="s">
        <v>95</v>
      </c>
    </row>
    <row r="90" spans="2:24" ht="12.75">
      <c r="B90" s="55"/>
      <c r="U90" t="s">
        <v>96</v>
      </c>
      <c r="W90" t="s">
        <v>124</v>
      </c>
      <c r="X90" s="10">
        <f>-310-X91</f>
        <v>-71</v>
      </c>
    </row>
    <row r="91" spans="2:24" ht="12.75">
      <c r="B91" s="55"/>
      <c r="D91" s="89"/>
      <c r="E91" s="90" t="s">
        <v>66</v>
      </c>
      <c r="F91" s="91"/>
      <c r="G91" s="92"/>
      <c r="W91" t="s">
        <v>98</v>
      </c>
      <c r="X91" s="10">
        <v>-239</v>
      </c>
    </row>
    <row r="92" spans="2:24" ht="12.75">
      <c r="B92" s="55"/>
      <c r="D92" s="62" t="s">
        <v>24</v>
      </c>
      <c r="E92" s="88" t="s">
        <v>94</v>
      </c>
      <c r="F92" s="63" t="s">
        <v>93</v>
      </c>
      <c r="G92" s="63" t="s">
        <v>19</v>
      </c>
      <c r="U92" t="s">
        <v>100</v>
      </c>
      <c r="X92" s="10">
        <v>-184</v>
      </c>
    </row>
    <row r="93" spans="2:24" ht="13.5" thickBot="1">
      <c r="B93" s="55"/>
      <c r="C93" s="6" t="s">
        <v>15</v>
      </c>
      <c r="D93" s="6">
        <v>1</v>
      </c>
      <c r="E93" s="14">
        <v>251.1</v>
      </c>
      <c r="F93" s="5">
        <v>10.045872</v>
      </c>
      <c r="G93" s="5">
        <f>10*25*0.0425</f>
        <v>10.625</v>
      </c>
      <c r="U93" t="s">
        <v>99</v>
      </c>
      <c r="X93" s="93">
        <f>SUM(X82:X92)</f>
        <v>1515</v>
      </c>
    </row>
    <row r="94" spans="2:7" ht="13.5" thickTop="1">
      <c r="B94" s="55"/>
      <c r="C94" s="6" t="s">
        <v>40</v>
      </c>
      <c r="D94" s="6">
        <v>2</v>
      </c>
      <c r="E94" s="14">
        <v>151.6</v>
      </c>
      <c r="F94" s="5">
        <v>6.062128</v>
      </c>
      <c r="G94" s="5">
        <f>6*1.25</f>
        <v>7.5</v>
      </c>
    </row>
    <row r="95" spans="2:7" ht="13.5" thickBot="1">
      <c r="B95" s="55"/>
      <c r="C95" s="6" t="s">
        <v>41</v>
      </c>
      <c r="D95" s="6">
        <v>3</v>
      </c>
      <c r="E95" s="14">
        <f>203</f>
        <v>203</v>
      </c>
      <c r="F95" s="5">
        <v>8.1209</v>
      </c>
      <c r="G95" s="5">
        <f>203*0.0675</f>
        <v>13.7025</v>
      </c>
    </row>
    <row r="96" spans="3:24" ht="18.75" thickBot="1">
      <c r="C96" s="6" t="s">
        <v>42</v>
      </c>
      <c r="D96" s="6">
        <v>5</v>
      </c>
      <c r="E96" s="14">
        <f>123</f>
        <v>123</v>
      </c>
      <c r="F96" s="5">
        <v>4.91992</v>
      </c>
      <c r="G96" s="5">
        <f>123*0.069</f>
        <v>8.487</v>
      </c>
      <c r="S96" s="19" t="s">
        <v>68</v>
      </c>
      <c r="T96" s="102" t="s">
        <v>58</v>
      </c>
      <c r="U96" t="s">
        <v>57</v>
      </c>
      <c r="V96" s="14">
        <f>(+$E$23+$F$23)*2*0+146.1*4</f>
        <v>584.4</v>
      </c>
      <c r="W96" s="17" t="s">
        <v>67</v>
      </c>
      <c r="X96" s="71">
        <f>+X93/+(V96)</f>
        <v>2.5924024640657084</v>
      </c>
    </row>
    <row r="97" spans="4:24" ht="12.75">
      <c r="D97" s="6">
        <v>7</v>
      </c>
      <c r="E97" s="14">
        <v>2.9</v>
      </c>
      <c r="F97" s="5">
        <v>0.383333</v>
      </c>
      <c r="G97" s="5">
        <f>3*0.05</f>
        <v>0.15000000000000002</v>
      </c>
      <c r="S97" s="1"/>
      <c r="T97" s="1"/>
      <c r="X97" s="56"/>
    </row>
    <row r="98" spans="5:25" ht="13.5" thickBot="1">
      <c r="E98" s="14"/>
      <c r="X98" s="1" t="s">
        <v>62</v>
      </c>
      <c r="Y98" s="58">
        <f>+Y82*0.5</f>
        <v>59.887</v>
      </c>
    </row>
    <row r="99" spans="4:25" ht="18.75" thickBot="1">
      <c r="D99" s="16" t="s">
        <v>37</v>
      </c>
      <c r="E99" s="34">
        <f>SUM(E93:E98)</f>
        <v>731.6</v>
      </c>
      <c r="F99" s="59">
        <f>SUM(F93:F98)</f>
        <v>29.532153000000005</v>
      </c>
      <c r="G99" s="59">
        <f>SUM(G93:G98)</f>
        <v>40.4645</v>
      </c>
      <c r="S99" s="19" t="s">
        <v>59</v>
      </c>
      <c r="T99" s="102" t="s">
        <v>58</v>
      </c>
      <c r="U99" t="s">
        <v>57</v>
      </c>
      <c r="V99" s="14">
        <f>(+$E$23+$F$23)</f>
        <v>287.97566000000006</v>
      </c>
      <c r="X99" s="24" t="s">
        <v>60</v>
      </c>
      <c r="Y99" s="69">
        <f>+V99/Y98</f>
        <v>4.8086506253443995</v>
      </c>
    </row>
    <row r="100" ht="13.5" thickTop="1"/>
    <row r="101" ht="12.75">
      <c r="B101" s="86"/>
    </row>
    <row r="106" ht="12.75">
      <c r="L106" s="85"/>
    </row>
  </sheetData>
  <sheetProtection/>
  <printOptions/>
  <pageMargins left="0.75" right="0.75" top="1" bottom="1" header="0.5" footer="0.5"/>
  <pageSetup fitToHeight="2" fitToWidth="1" orientation="landscape" paperSize="9" scale="49" r:id="rId3"/>
  <ignoredErrors>
    <ignoredError sqref="E20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10" customWidth="1"/>
    <col min="25" max="25" width="9.140625" style="5" customWidth="1"/>
  </cols>
  <sheetData>
    <row r="1" spans="2:9" ht="31.5">
      <c r="B1" s="113" t="s">
        <v>109</v>
      </c>
      <c r="G1" s="64"/>
      <c r="H1" s="65" t="s">
        <v>108</v>
      </c>
      <c r="I1" s="64"/>
    </row>
    <row r="2" spans="1:25" s="98" customFormat="1" ht="10.5" customHeight="1">
      <c r="A2" s="31"/>
      <c r="B2" s="97"/>
      <c r="H2" s="99"/>
      <c r="X2" s="100"/>
      <c r="Y2" s="101"/>
    </row>
    <row r="3" spans="2:6" ht="20.25">
      <c r="B3" s="114" t="s">
        <v>110</v>
      </c>
      <c r="C3" s="95"/>
      <c r="D3" s="95"/>
      <c r="E3" s="104"/>
      <c r="F3" s="96"/>
    </row>
    <row r="4" spans="1:25" s="19" customFormat="1" ht="13.5" thickBot="1">
      <c r="A4" s="17"/>
      <c r="D4" s="122"/>
      <c r="E4" s="20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19">
        <v>2015</v>
      </c>
      <c r="R4" s="19">
        <v>2016</v>
      </c>
      <c r="S4" s="19">
        <v>2017</v>
      </c>
      <c r="T4" s="19">
        <v>2018</v>
      </c>
      <c r="U4" s="19">
        <v>2019</v>
      </c>
      <c r="V4" s="19">
        <v>2020</v>
      </c>
      <c r="W4" s="17"/>
      <c r="X4" s="24"/>
      <c r="Y4" s="23"/>
    </row>
    <row r="5" spans="2:25" s="129" customFormat="1" ht="17.25" thickBot="1">
      <c r="B5" s="136" t="s">
        <v>105</v>
      </c>
      <c r="C5" s="137"/>
      <c r="D5" s="137"/>
      <c r="E5" s="138">
        <v>0.045</v>
      </c>
      <c r="F5" s="138">
        <f>+E5</f>
        <v>0.045</v>
      </c>
      <c r="G5" s="138">
        <f aca="true" t="shared" si="0" ref="G5:O5">+F5</f>
        <v>0.045</v>
      </c>
      <c r="H5" s="138">
        <f t="shared" si="0"/>
        <v>0.045</v>
      </c>
      <c r="I5" s="138">
        <f t="shared" si="0"/>
        <v>0.045</v>
      </c>
      <c r="J5" s="138">
        <f t="shared" si="0"/>
        <v>0.045</v>
      </c>
      <c r="K5" s="138">
        <f t="shared" si="0"/>
        <v>0.045</v>
      </c>
      <c r="L5" s="138">
        <f t="shared" si="0"/>
        <v>0.045</v>
      </c>
      <c r="M5" s="138">
        <f t="shared" si="0"/>
        <v>0.045</v>
      </c>
      <c r="N5" s="138">
        <f t="shared" si="0"/>
        <v>0.045</v>
      </c>
      <c r="O5" s="138">
        <f t="shared" si="0"/>
        <v>0.045</v>
      </c>
      <c r="P5" s="138">
        <f>+O5</f>
        <v>0.045</v>
      </c>
      <c r="Q5" s="138">
        <v>0.15</v>
      </c>
      <c r="R5" s="139">
        <v>0.15</v>
      </c>
      <c r="S5" s="139">
        <v>0.15</v>
      </c>
      <c r="T5" s="139">
        <v>0.15</v>
      </c>
      <c r="U5" s="139">
        <v>0.15</v>
      </c>
      <c r="V5" s="139">
        <v>0.15</v>
      </c>
      <c r="X5" s="134"/>
      <c r="Y5" s="135"/>
    </row>
    <row r="6" spans="2:25" s="129" customFormat="1" ht="17.25" thickBot="1">
      <c r="B6" s="130" t="s">
        <v>106</v>
      </c>
      <c r="C6" s="131"/>
      <c r="D6" s="131"/>
      <c r="E6" s="132">
        <v>-0.044</v>
      </c>
      <c r="F6" s="132">
        <f>+E6</f>
        <v>-0.044</v>
      </c>
      <c r="G6" s="132">
        <f aca="true" t="shared" si="1" ref="G6:O6">+F6</f>
        <v>-0.044</v>
      </c>
      <c r="H6" s="132">
        <f t="shared" si="1"/>
        <v>-0.044</v>
      </c>
      <c r="I6" s="132">
        <f t="shared" si="1"/>
        <v>-0.044</v>
      </c>
      <c r="J6" s="132">
        <f t="shared" si="1"/>
        <v>-0.044</v>
      </c>
      <c r="K6" s="132">
        <f t="shared" si="1"/>
        <v>-0.044</v>
      </c>
      <c r="L6" s="132">
        <f t="shared" si="1"/>
        <v>-0.044</v>
      </c>
      <c r="M6" s="132">
        <f t="shared" si="1"/>
        <v>-0.044</v>
      </c>
      <c r="N6" s="132">
        <f t="shared" si="1"/>
        <v>-0.044</v>
      </c>
      <c r="O6" s="132">
        <f t="shared" si="1"/>
        <v>-0.044</v>
      </c>
      <c r="P6" s="132">
        <f>+O6</f>
        <v>-0.044</v>
      </c>
      <c r="Q6" s="132">
        <v>-0.15</v>
      </c>
      <c r="R6" s="133">
        <v>-0.15</v>
      </c>
      <c r="S6" s="133">
        <v>0</v>
      </c>
      <c r="T6" s="133">
        <v>0</v>
      </c>
      <c r="U6" s="133">
        <v>0</v>
      </c>
      <c r="V6" s="133">
        <v>0</v>
      </c>
      <c r="X6" s="134"/>
      <c r="Y6" s="135"/>
    </row>
    <row r="7" spans="2:6" ht="20.25">
      <c r="B7" s="94"/>
      <c r="C7" s="95"/>
      <c r="D7" s="95"/>
      <c r="E7" s="104"/>
      <c r="F7" s="96"/>
    </row>
    <row r="8" spans="1:25" s="16" customFormat="1" ht="12.75">
      <c r="A8" s="17"/>
      <c r="D8" s="17" t="s">
        <v>56</v>
      </c>
      <c r="E8" s="67" t="s">
        <v>63</v>
      </c>
      <c r="F8" s="66" t="s">
        <v>64</v>
      </c>
      <c r="X8" s="24"/>
      <c r="Y8" s="23"/>
    </row>
    <row r="9" spans="1:25" s="19" customFormat="1" ht="12.75">
      <c r="A9" s="17"/>
      <c r="C9" s="19" t="s">
        <v>36</v>
      </c>
      <c r="D9" s="43" t="s">
        <v>20</v>
      </c>
      <c r="E9" s="20" t="s">
        <v>1</v>
      </c>
      <c r="F9" s="20" t="s">
        <v>2</v>
      </c>
      <c r="G9" s="20" t="s">
        <v>3</v>
      </c>
      <c r="H9" s="20" t="s">
        <v>4</v>
      </c>
      <c r="I9" s="21" t="s">
        <v>5</v>
      </c>
      <c r="J9" s="21" t="s">
        <v>6</v>
      </c>
      <c r="K9" s="21" t="s">
        <v>7</v>
      </c>
      <c r="L9" s="21" t="s">
        <v>8</v>
      </c>
      <c r="M9" s="22" t="s">
        <v>9</v>
      </c>
      <c r="N9" s="22" t="s">
        <v>10</v>
      </c>
      <c r="O9" s="22" t="s">
        <v>11</v>
      </c>
      <c r="P9" s="22" t="s">
        <v>12</v>
      </c>
      <c r="Q9" s="19">
        <v>2015</v>
      </c>
      <c r="R9" s="19">
        <v>2016</v>
      </c>
      <c r="S9" s="19">
        <v>2017</v>
      </c>
      <c r="T9" s="19">
        <v>2018</v>
      </c>
      <c r="U9" s="19">
        <v>2019</v>
      </c>
      <c r="V9" s="19">
        <v>2020</v>
      </c>
      <c r="W9" s="17" t="s">
        <v>46</v>
      </c>
      <c r="X9" s="24"/>
      <c r="Y9" s="23"/>
    </row>
    <row r="10" spans="1:25" s="2" customFormat="1" ht="12.75">
      <c r="A10" s="31"/>
      <c r="B10" s="53" t="s">
        <v>57</v>
      </c>
      <c r="C10" s="3"/>
      <c r="D10" s="44"/>
      <c r="X10" s="9"/>
      <c r="Y10" s="11"/>
    </row>
    <row r="11" spans="1:25" s="2" customFormat="1" ht="12.75">
      <c r="A11" s="31"/>
      <c r="B11" s="103"/>
      <c r="C11" s="3"/>
      <c r="D11" s="44"/>
      <c r="X11" s="9"/>
      <c r="Y11" s="11"/>
    </row>
    <row r="12" spans="1:25" s="2" customFormat="1" ht="12.75">
      <c r="A12" s="31"/>
      <c r="B12" s="72" t="s">
        <v>73</v>
      </c>
      <c r="C12" s="3"/>
      <c r="D12" s="47">
        <v>90</v>
      </c>
      <c r="E12" s="12">
        <f>+D12*(1+E13)</f>
        <v>94.05</v>
      </c>
      <c r="F12" s="12">
        <f aca="true" t="shared" si="2" ref="F12:P12">+E12*(1+F13)</f>
        <v>98.28224999999999</v>
      </c>
      <c r="G12" s="12">
        <f t="shared" si="2"/>
        <v>102.70495124999998</v>
      </c>
      <c r="H12" s="12">
        <f t="shared" si="2"/>
        <v>107.32667405624997</v>
      </c>
      <c r="I12" s="12">
        <f t="shared" si="2"/>
        <v>112.15637438878122</v>
      </c>
      <c r="J12" s="12">
        <f t="shared" si="2"/>
        <v>117.20341123627637</v>
      </c>
      <c r="K12" s="12">
        <f t="shared" si="2"/>
        <v>122.4775647419088</v>
      </c>
      <c r="L12" s="12">
        <f t="shared" si="2"/>
        <v>127.98905515529468</v>
      </c>
      <c r="M12" s="12">
        <f t="shared" si="2"/>
        <v>133.74856263728293</v>
      </c>
      <c r="N12" s="12">
        <f t="shared" si="2"/>
        <v>139.76724795596064</v>
      </c>
      <c r="O12" s="12">
        <f t="shared" si="2"/>
        <v>146.05677411397886</v>
      </c>
      <c r="P12" s="12">
        <f t="shared" si="2"/>
        <v>152.6293289491079</v>
      </c>
      <c r="Q12" s="12">
        <f>+P12*4</f>
        <v>610.5173157964316</v>
      </c>
      <c r="R12" s="12">
        <f>+Q12*(1+R13)</f>
        <v>702.0949131658963</v>
      </c>
      <c r="S12" s="12">
        <f>+R12*(1+S13)</f>
        <v>807.4091501407806</v>
      </c>
      <c r="T12" s="12">
        <f>+S12*(1+T13)</f>
        <v>928.5205226618976</v>
      </c>
      <c r="U12" s="12">
        <f>+T12*(1+U13)</f>
        <v>1067.7986010611821</v>
      </c>
      <c r="V12" s="12">
        <f>+U12*(1+V13)</f>
        <v>1227.9683912203593</v>
      </c>
      <c r="X12" s="9"/>
      <c r="Y12" s="11"/>
    </row>
    <row r="13" spans="1:25" s="2" customFormat="1" ht="12.75">
      <c r="A13" s="31"/>
      <c r="B13" s="73" t="s">
        <v>76</v>
      </c>
      <c r="C13" s="75"/>
      <c r="D13" s="76"/>
      <c r="E13" s="77">
        <f>+E5</f>
        <v>0.045</v>
      </c>
      <c r="F13" s="77">
        <f aca="true" t="shared" si="3" ref="F13:R13">+F5</f>
        <v>0.045</v>
      </c>
      <c r="G13" s="77">
        <f t="shared" si="3"/>
        <v>0.045</v>
      </c>
      <c r="H13" s="77">
        <f t="shared" si="3"/>
        <v>0.045</v>
      </c>
      <c r="I13" s="77">
        <f t="shared" si="3"/>
        <v>0.045</v>
      </c>
      <c r="J13" s="77">
        <f t="shared" si="3"/>
        <v>0.045</v>
      </c>
      <c r="K13" s="77">
        <f t="shared" si="3"/>
        <v>0.045</v>
      </c>
      <c r="L13" s="77">
        <f t="shared" si="3"/>
        <v>0.045</v>
      </c>
      <c r="M13" s="77">
        <f t="shared" si="3"/>
        <v>0.045</v>
      </c>
      <c r="N13" s="77">
        <f t="shared" si="3"/>
        <v>0.045</v>
      </c>
      <c r="O13" s="77">
        <f t="shared" si="3"/>
        <v>0.045</v>
      </c>
      <c r="P13" s="77">
        <f t="shared" si="3"/>
        <v>0.045</v>
      </c>
      <c r="Q13" s="77">
        <f t="shared" si="3"/>
        <v>0.15</v>
      </c>
      <c r="R13" s="77">
        <f t="shared" si="3"/>
        <v>0.15</v>
      </c>
      <c r="S13" s="77">
        <f>+S5</f>
        <v>0.15</v>
      </c>
      <c r="T13" s="77">
        <f>+T5</f>
        <v>0.15</v>
      </c>
      <c r="U13" s="77">
        <f>+U5</f>
        <v>0.15</v>
      </c>
      <c r="V13" s="77">
        <f>+V5</f>
        <v>0.15</v>
      </c>
      <c r="X13" s="9"/>
      <c r="Y13" s="11"/>
    </row>
    <row r="14" spans="1:22" s="111" customFormat="1" ht="12.75">
      <c r="A14" s="109"/>
      <c r="B14" s="110" t="s">
        <v>78</v>
      </c>
      <c r="D14" s="106">
        <v>0.3</v>
      </c>
      <c r="E14" s="111">
        <f>+D14</f>
        <v>0.3</v>
      </c>
      <c r="F14" s="111">
        <f aca="true" t="shared" si="4" ref="F14:R14">+E14</f>
        <v>0.3</v>
      </c>
      <c r="G14" s="111">
        <f t="shared" si="4"/>
        <v>0.3</v>
      </c>
      <c r="H14" s="111">
        <f t="shared" si="4"/>
        <v>0.3</v>
      </c>
      <c r="I14" s="111">
        <f t="shared" si="4"/>
        <v>0.3</v>
      </c>
      <c r="J14" s="111">
        <f t="shared" si="4"/>
        <v>0.3</v>
      </c>
      <c r="K14" s="111">
        <f t="shared" si="4"/>
        <v>0.3</v>
      </c>
      <c r="L14" s="111">
        <f t="shared" si="4"/>
        <v>0.3</v>
      </c>
      <c r="M14" s="111">
        <f t="shared" si="4"/>
        <v>0.3</v>
      </c>
      <c r="N14" s="111">
        <f t="shared" si="4"/>
        <v>0.3</v>
      </c>
      <c r="O14" s="111">
        <f t="shared" si="4"/>
        <v>0.3</v>
      </c>
      <c r="P14" s="111">
        <f t="shared" si="4"/>
        <v>0.3</v>
      </c>
      <c r="Q14" s="111">
        <f t="shared" si="4"/>
        <v>0.3</v>
      </c>
      <c r="R14" s="111">
        <f t="shared" si="4"/>
        <v>0.3</v>
      </c>
      <c r="S14" s="111">
        <f>+R14</f>
        <v>0.3</v>
      </c>
      <c r="T14" s="111">
        <f>+S14</f>
        <v>0.3</v>
      </c>
      <c r="U14" s="111">
        <f>+T14</f>
        <v>0.3</v>
      </c>
      <c r="V14" s="111">
        <f>+U14</f>
        <v>0.3</v>
      </c>
    </row>
    <row r="15" spans="1:25" s="2" customFormat="1" ht="12.75">
      <c r="A15" s="31"/>
      <c r="B15" s="26" t="s">
        <v>75</v>
      </c>
      <c r="C15" s="3"/>
      <c r="D15" s="74">
        <f>+D12*D14</f>
        <v>27</v>
      </c>
      <c r="E15" s="80">
        <f aca="true" t="shared" si="5" ref="E15:R15">+E12*E14</f>
        <v>28.215</v>
      </c>
      <c r="F15" s="80">
        <f t="shared" si="5"/>
        <v>29.484674999999996</v>
      </c>
      <c r="G15" s="80">
        <f t="shared" si="5"/>
        <v>30.811485374999993</v>
      </c>
      <c r="H15" s="80">
        <f t="shared" si="5"/>
        <v>32.19800221687499</v>
      </c>
      <c r="I15" s="80">
        <f t="shared" si="5"/>
        <v>33.64691231663436</v>
      </c>
      <c r="J15" s="80">
        <f t="shared" si="5"/>
        <v>35.16102337088291</v>
      </c>
      <c r="K15" s="80">
        <f t="shared" si="5"/>
        <v>36.74326942257264</v>
      </c>
      <c r="L15" s="80">
        <f t="shared" si="5"/>
        <v>38.3967165465884</v>
      </c>
      <c r="M15" s="80">
        <f t="shared" si="5"/>
        <v>40.12456879118488</v>
      </c>
      <c r="N15" s="80">
        <f t="shared" si="5"/>
        <v>41.93017438678819</v>
      </c>
      <c r="O15" s="80">
        <f t="shared" si="5"/>
        <v>43.817032234193654</v>
      </c>
      <c r="P15" s="80">
        <f t="shared" si="5"/>
        <v>45.78879868473237</v>
      </c>
      <c r="Q15" s="80">
        <f t="shared" si="5"/>
        <v>183.15519473892948</v>
      </c>
      <c r="R15" s="80">
        <f t="shared" si="5"/>
        <v>210.62847394976887</v>
      </c>
      <c r="S15" s="80">
        <f>+S12*S14</f>
        <v>242.22274504223418</v>
      </c>
      <c r="T15" s="80">
        <f>+T12*T14</f>
        <v>278.5561567985693</v>
      </c>
      <c r="U15" s="80">
        <f>+U12*U14</f>
        <v>320.33958031835465</v>
      </c>
      <c r="V15" s="80">
        <f>+V12*V14</f>
        <v>368.39051736610776</v>
      </c>
      <c r="X15" s="9"/>
      <c r="Y15" s="11"/>
    </row>
    <row r="16" spans="1:25" s="2" customFormat="1" ht="12.75">
      <c r="A16" s="31"/>
      <c r="B16" s="72"/>
      <c r="C16" s="3"/>
      <c r="D16" s="4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9"/>
      <c r="Y16" s="11"/>
    </row>
    <row r="17" spans="1:25" s="2" customFormat="1" ht="12.75">
      <c r="A17" s="31"/>
      <c r="B17" s="72" t="s">
        <v>74</v>
      </c>
      <c r="C17" s="3"/>
      <c r="D17" s="47">
        <v>223.3</v>
      </c>
      <c r="E17" s="12">
        <f>+D17*(1+E18)</f>
        <v>213.47480000000002</v>
      </c>
      <c r="F17" s="12">
        <f aca="true" t="shared" si="6" ref="F17:R17">+E17*(1+F18)</f>
        <v>204.0819088</v>
      </c>
      <c r="G17" s="12">
        <f t="shared" si="6"/>
        <v>195.10230481279999</v>
      </c>
      <c r="H17" s="12">
        <f t="shared" si="6"/>
        <v>186.5178034010368</v>
      </c>
      <c r="I17" s="12">
        <f t="shared" si="6"/>
        <v>178.31102005139115</v>
      </c>
      <c r="J17" s="12">
        <f t="shared" si="6"/>
        <v>170.46533516912993</v>
      </c>
      <c r="K17" s="12">
        <f t="shared" si="6"/>
        <v>162.9648604216882</v>
      </c>
      <c r="L17" s="12">
        <f t="shared" si="6"/>
        <v>155.79440656313392</v>
      </c>
      <c r="M17" s="12">
        <f t="shared" si="6"/>
        <v>148.93945267435603</v>
      </c>
      <c r="N17" s="12">
        <f t="shared" si="6"/>
        <v>142.38611675668437</v>
      </c>
      <c r="O17" s="12">
        <f t="shared" si="6"/>
        <v>136.12112761939025</v>
      </c>
      <c r="P17" s="12">
        <f t="shared" si="6"/>
        <v>130.13179800413707</v>
      </c>
      <c r="Q17" s="12">
        <f>+P17*4</f>
        <v>520.5271920165483</v>
      </c>
      <c r="R17" s="12">
        <f t="shared" si="6"/>
        <v>442.44811321406604</v>
      </c>
      <c r="S17" s="12">
        <f>+R17*(1+S18)</f>
        <v>442.44811321406604</v>
      </c>
      <c r="T17" s="12">
        <f>+S17*(1+T18)</f>
        <v>442.44811321406604</v>
      </c>
      <c r="U17" s="12">
        <f>+T17*(1+U18)</f>
        <v>442.44811321406604</v>
      </c>
      <c r="V17" s="12">
        <f>+U17*(1+V18)</f>
        <v>442.44811321406604</v>
      </c>
      <c r="X17" s="9"/>
      <c r="Y17" s="11"/>
    </row>
    <row r="18" spans="1:25" s="2" customFormat="1" ht="12.75">
      <c r="A18" s="31"/>
      <c r="B18" s="73" t="s">
        <v>79</v>
      </c>
      <c r="C18" s="3"/>
      <c r="D18" s="47"/>
      <c r="E18" s="78">
        <f>+E6</f>
        <v>-0.044</v>
      </c>
      <c r="F18" s="78">
        <f aca="true" t="shared" si="7" ref="F18:R18">+F6</f>
        <v>-0.044</v>
      </c>
      <c r="G18" s="78">
        <f t="shared" si="7"/>
        <v>-0.044</v>
      </c>
      <c r="H18" s="78">
        <f t="shared" si="7"/>
        <v>-0.044</v>
      </c>
      <c r="I18" s="78">
        <f t="shared" si="7"/>
        <v>-0.044</v>
      </c>
      <c r="J18" s="78">
        <f t="shared" si="7"/>
        <v>-0.044</v>
      </c>
      <c r="K18" s="78">
        <f t="shared" si="7"/>
        <v>-0.044</v>
      </c>
      <c r="L18" s="78">
        <f t="shared" si="7"/>
        <v>-0.044</v>
      </c>
      <c r="M18" s="78">
        <f t="shared" si="7"/>
        <v>-0.044</v>
      </c>
      <c r="N18" s="78">
        <f t="shared" si="7"/>
        <v>-0.044</v>
      </c>
      <c r="O18" s="78">
        <f t="shared" si="7"/>
        <v>-0.044</v>
      </c>
      <c r="P18" s="78">
        <f t="shared" si="7"/>
        <v>-0.044</v>
      </c>
      <c r="Q18" s="78">
        <f t="shared" si="7"/>
        <v>-0.15</v>
      </c>
      <c r="R18" s="78">
        <f t="shared" si="7"/>
        <v>-0.15</v>
      </c>
      <c r="S18" s="78">
        <f>+S6</f>
        <v>0</v>
      </c>
      <c r="T18" s="78">
        <f>+T6</f>
        <v>0</v>
      </c>
      <c r="U18" s="78">
        <f>+U6</f>
        <v>0</v>
      </c>
      <c r="V18" s="78">
        <f>+V6</f>
        <v>0</v>
      </c>
      <c r="X18" s="9"/>
      <c r="Y18" s="11"/>
    </row>
    <row r="19" spans="1:23" s="111" customFormat="1" ht="15">
      <c r="A19" s="109"/>
      <c r="B19" s="110" t="s">
        <v>78</v>
      </c>
      <c r="C19" s="112"/>
      <c r="D19" s="106">
        <v>0.538</v>
      </c>
      <c r="E19" s="107">
        <f>+D19</f>
        <v>0.538</v>
      </c>
      <c r="F19" s="107">
        <v>0.535</v>
      </c>
      <c r="G19" s="107">
        <v>0.53</v>
      </c>
      <c r="H19" s="107">
        <v>0.53</v>
      </c>
      <c r="I19" s="107">
        <v>0.525</v>
      </c>
      <c r="J19" s="107">
        <v>0.52</v>
      </c>
      <c r="K19" s="107">
        <v>0.515</v>
      </c>
      <c r="L19" s="107">
        <v>0.51</v>
      </c>
      <c r="M19" s="107">
        <v>0.51</v>
      </c>
      <c r="N19" s="107">
        <v>0.51</v>
      </c>
      <c r="O19" s="107">
        <v>0.51</v>
      </c>
      <c r="P19" s="107">
        <v>0.51</v>
      </c>
      <c r="Q19" s="107">
        <v>0.51</v>
      </c>
      <c r="R19" s="107">
        <v>0.51</v>
      </c>
      <c r="S19" s="107">
        <v>0.51</v>
      </c>
      <c r="T19" s="107">
        <v>0.51</v>
      </c>
      <c r="U19" s="107">
        <v>0.51</v>
      </c>
      <c r="V19" s="107">
        <v>0.51</v>
      </c>
      <c r="W19" s="128" t="s">
        <v>111</v>
      </c>
    </row>
    <row r="20" spans="1:25" s="2" customFormat="1" ht="12.75">
      <c r="A20" s="31"/>
      <c r="B20" s="26" t="s">
        <v>77</v>
      </c>
      <c r="C20" s="3"/>
      <c r="D20" s="74">
        <f>+D17*D19</f>
        <v>120.13540000000002</v>
      </c>
      <c r="E20" s="80">
        <f>+E17*E19</f>
        <v>114.84944240000002</v>
      </c>
      <c r="F20" s="80">
        <f aca="true" t="shared" si="8" ref="F20:R20">+F17*F19</f>
        <v>109.18382120800001</v>
      </c>
      <c r="G20" s="80">
        <f t="shared" si="8"/>
        <v>103.404221550784</v>
      </c>
      <c r="H20" s="80">
        <f t="shared" si="8"/>
        <v>98.8544358025495</v>
      </c>
      <c r="I20" s="80">
        <f t="shared" si="8"/>
        <v>93.61328552698036</v>
      </c>
      <c r="J20" s="80">
        <f t="shared" si="8"/>
        <v>88.64197428794756</v>
      </c>
      <c r="K20" s="80">
        <f t="shared" si="8"/>
        <v>83.92690311716943</v>
      </c>
      <c r="L20" s="80">
        <f t="shared" si="8"/>
        <v>79.4551473471983</v>
      </c>
      <c r="M20" s="80">
        <f t="shared" si="8"/>
        <v>75.95912086392158</v>
      </c>
      <c r="N20" s="80">
        <f t="shared" si="8"/>
        <v>72.61691954590903</v>
      </c>
      <c r="O20" s="80">
        <f t="shared" si="8"/>
        <v>69.42177508588902</v>
      </c>
      <c r="P20" s="80">
        <f t="shared" si="8"/>
        <v>66.36721698210991</v>
      </c>
      <c r="Q20" s="80">
        <f t="shared" si="8"/>
        <v>265.46886792843964</v>
      </c>
      <c r="R20" s="80">
        <f t="shared" si="8"/>
        <v>225.6485377391737</v>
      </c>
      <c r="S20" s="80">
        <f>+S17*S19</f>
        <v>225.6485377391737</v>
      </c>
      <c r="T20" s="80">
        <f>+T17*T19</f>
        <v>225.6485377391737</v>
      </c>
      <c r="U20" s="80">
        <f>+U17*U19</f>
        <v>225.6485377391737</v>
      </c>
      <c r="V20" s="80">
        <f>+V17*V19</f>
        <v>225.6485377391737</v>
      </c>
      <c r="X20" s="9"/>
      <c r="Y20" s="11"/>
    </row>
    <row r="21" spans="1:25" s="2" customFormat="1" ht="12.75">
      <c r="A21" s="31"/>
      <c r="B21" s="73"/>
      <c r="C21" s="3"/>
      <c r="D21" s="4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9"/>
      <c r="Y21" s="11"/>
    </row>
    <row r="22" spans="1:25" s="2" customFormat="1" ht="12.75">
      <c r="A22" s="31"/>
      <c r="B22" s="73" t="s">
        <v>80</v>
      </c>
      <c r="C22" s="3"/>
      <c r="D22" s="47">
        <f>+D12+D17</f>
        <v>313.3</v>
      </c>
      <c r="E22" s="12">
        <f>+E12+E17</f>
        <v>307.5248</v>
      </c>
      <c r="F22" s="12">
        <f aca="true" t="shared" si="9" ref="F22:R22">+F12+F17</f>
        <v>302.3641588</v>
      </c>
      <c r="G22" s="12">
        <f t="shared" si="9"/>
        <v>297.8072560628</v>
      </c>
      <c r="H22" s="12">
        <f t="shared" si="9"/>
        <v>293.84447745728676</v>
      </c>
      <c r="I22" s="12">
        <f t="shared" si="9"/>
        <v>290.46739444017237</v>
      </c>
      <c r="J22" s="12">
        <f t="shared" si="9"/>
        <v>287.6687464054063</v>
      </c>
      <c r="K22" s="12">
        <f t="shared" si="9"/>
        <v>285.442425163597</v>
      </c>
      <c r="L22" s="12">
        <f t="shared" si="9"/>
        <v>283.7834617184286</v>
      </c>
      <c r="M22" s="12">
        <f t="shared" si="9"/>
        <v>282.688015311639</v>
      </c>
      <c r="N22" s="12">
        <f t="shared" si="9"/>
        <v>282.15336471264504</v>
      </c>
      <c r="O22" s="12">
        <f t="shared" si="9"/>
        <v>282.17790173336914</v>
      </c>
      <c r="P22" s="12">
        <f t="shared" si="9"/>
        <v>282.76112695324497</v>
      </c>
      <c r="Q22" s="12">
        <f t="shared" si="9"/>
        <v>1131.0445078129799</v>
      </c>
      <c r="R22" s="12">
        <f t="shared" si="9"/>
        <v>1144.5430263799624</v>
      </c>
      <c r="S22" s="12">
        <f>+S12+S17</f>
        <v>1249.8572633548467</v>
      </c>
      <c r="T22" s="12">
        <f>+T12+T17</f>
        <v>1370.9686358759636</v>
      </c>
      <c r="U22" s="12">
        <f>+U12+U17</f>
        <v>1510.2467142752482</v>
      </c>
      <c r="V22" s="12">
        <f>+V12+V17</f>
        <v>1670.4165044344254</v>
      </c>
      <c r="X22" s="9"/>
      <c r="Y22" s="11"/>
    </row>
    <row r="23" spans="1:25" s="26" customFormat="1" ht="13.5" thickBot="1">
      <c r="A23" s="32" t="s">
        <v>15</v>
      </c>
      <c r="B23" s="32" t="s">
        <v>112</v>
      </c>
      <c r="C23" s="25"/>
      <c r="D23" s="79">
        <f>+D15+D20</f>
        <v>147.1354</v>
      </c>
      <c r="E23" s="81">
        <f aca="true" t="shared" si="10" ref="E23:R23">+E15+E20</f>
        <v>143.06444240000002</v>
      </c>
      <c r="F23" s="81">
        <f t="shared" si="10"/>
        <v>138.66849620800002</v>
      </c>
      <c r="G23" s="81">
        <f t="shared" si="10"/>
        <v>134.215706925784</v>
      </c>
      <c r="H23" s="81">
        <f t="shared" si="10"/>
        <v>131.0524380194245</v>
      </c>
      <c r="I23" s="81">
        <f t="shared" si="10"/>
        <v>127.26019784361472</v>
      </c>
      <c r="J23" s="81">
        <f t="shared" si="10"/>
        <v>123.80299765883046</v>
      </c>
      <c r="K23" s="81">
        <f t="shared" si="10"/>
        <v>120.67017253974207</v>
      </c>
      <c r="L23" s="81">
        <f t="shared" si="10"/>
        <v>117.85186389378671</v>
      </c>
      <c r="M23" s="81">
        <f t="shared" si="10"/>
        <v>116.08368965510647</v>
      </c>
      <c r="N23" s="81">
        <f t="shared" si="10"/>
        <v>114.54709393269721</v>
      </c>
      <c r="O23" s="81">
        <f t="shared" si="10"/>
        <v>113.23880732008269</v>
      </c>
      <c r="P23" s="81">
        <f t="shared" si="10"/>
        <v>112.15601566684228</v>
      </c>
      <c r="Q23" s="81">
        <f t="shared" si="10"/>
        <v>448.6240626673691</v>
      </c>
      <c r="R23" s="81">
        <f t="shared" si="10"/>
        <v>436.2770116889426</v>
      </c>
      <c r="S23" s="81">
        <f>+S15+S20</f>
        <v>467.8712827814079</v>
      </c>
      <c r="T23" s="81">
        <f>+T15+T20</f>
        <v>504.20469453774297</v>
      </c>
      <c r="U23" s="81">
        <f>+U15+U20</f>
        <v>545.9881180575284</v>
      </c>
      <c r="V23" s="81">
        <f>+V15+V20</f>
        <v>594.0390551052815</v>
      </c>
      <c r="X23" s="28"/>
      <c r="Y23" s="29"/>
    </row>
    <row r="24" spans="1:25" s="26" customFormat="1" ht="13.5" thickTop="1">
      <c r="A24" s="32"/>
      <c r="B24" s="26" t="s">
        <v>81</v>
      </c>
      <c r="C24" s="25"/>
      <c r="D24" s="82">
        <f>+D23/D22</f>
        <v>0.46963102457708267</v>
      </c>
      <c r="E24" s="83">
        <f>+E23/E22</f>
        <v>0.4652126995936588</v>
      </c>
      <c r="F24" s="83">
        <f>+F23/F22</f>
        <v>0.45861419805289444</v>
      </c>
      <c r="G24" s="83">
        <f aca="true" t="shared" si="11" ref="G24:R24">+G23/G22</f>
        <v>0.45067977422780225</v>
      </c>
      <c r="H24" s="83">
        <f t="shared" si="11"/>
        <v>0.4459925166994989</v>
      </c>
      <c r="I24" s="83">
        <f t="shared" si="11"/>
        <v>0.43812214478973655</v>
      </c>
      <c r="J24" s="83">
        <f t="shared" si="11"/>
        <v>0.430366521236051</v>
      </c>
      <c r="K24" s="83">
        <f t="shared" si="11"/>
        <v>0.42274785351400296</v>
      </c>
      <c r="L24" s="83">
        <f t="shared" si="11"/>
        <v>0.4152879916967111</v>
      </c>
      <c r="M24" s="83">
        <f t="shared" si="11"/>
        <v>0.41064241625926123</v>
      </c>
      <c r="N24" s="83">
        <f t="shared" si="11"/>
        <v>0.40597458070137143</v>
      </c>
      <c r="O24" s="83">
        <f t="shared" si="11"/>
        <v>0.40130288950508397</v>
      </c>
      <c r="P24" s="83">
        <f t="shared" si="11"/>
        <v>0.3966458079840213</v>
      </c>
      <c r="Q24" s="83">
        <f t="shared" si="11"/>
        <v>0.3966458079840213</v>
      </c>
      <c r="R24" s="83">
        <f t="shared" si="11"/>
        <v>0.3811800881517131</v>
      </c>
      <c r="S24" s="83">
        <f>+S23/S22</f>
        <v>0.3743397718276688</v>
      </c>
      <c r="T24" s="83">
        <f>+T23/T22</f>
        <v>0.36777259620938557</v>
      </c>
      <c r="U24" s="83">
        <f>+U23/U22</f>
        <v>0.36152246708879116</v>
      </c>
      <c r="V24" s="83">
        <f>+V23/V22</f>
        <v>0.35562331522006424</v>
      </c>
      <c r="X24" s="28"/>
      <c r="Y24" s="29"/>
    </row>
    <row r="25" spans="1:25" s="2" customFormat="1" ht="12.75">
      <c r="A25" s="31"/>
      <c r="B25" s="103"/>
      <c r="C25" s="3"/>
      <c r="D25" s="44"/>
      <c r="X25" s="9"/>
      <c r="Y25" s="11"/>
    </row>
    <row r="26" spans="1:25" s="26" customFormat="1" ht="12.75">
      <c r="A26" s="32"/>
      <c r="B26" s="25"/>
      <c r="C26" s="25"/>
      <c r="D26" s="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X26" s="28"/>
      <c r="Y26" s="29"/>
    </row>
    <row r="27" spans="1:25" s="2" customFormat="1" ht="12.75">
      <c r="A27" s="31"/>
      <c r="B27" s="53" t="s">
        <v>47</v>
      </c>
      <c r="D27" s="47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9"/>
      <c r="Y27" s="11"/>
    </row>
    <row r="28" spans="1:25" s="2" customFormat="1" ht="12.75">
      <c r="A28" s="31"/>
      <c r="B28" s="25" t="s">
        <v>17</v>
      </c>
      <c r="D28" s="4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X28" s="9"/>
      <c r="Y28" s="11"/>
    </row>
    <row r="29" spans="1:25" s="2" customFormat="1" ht="12.75">
      <c r="A29" s="31"/>
      <c r="B29" s="1" t="s">
        <v>89</v>
      </c>
      <c r="D29" s="47">
        <f>266*0.05/4</f>
        <v>3.325</v>
      </c>
      <c r="E29" s="12">
        <v>2.07</v>
      </c>
      <c r="F29" s="12">
        <v>1.7825</v>
      </c>
      <c r="G29" s="12">
        <v>1.495</v>
      </c>
      <c r="H29" s="12">
        <v>1.2075</v>
      </c>
      <c r="I29" s="12">
        <v>0.92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X29" s="9"/>
      <c r="Y29" s="11"/>
    </row>
    <row r="30" spans="1:25" s="2" customFormat="1" ht="12.75">
      <c r="A30" s="31"/>
      <c r="B30" s="1" t="s">
        <v>90</v>
      </c>
      <c r="D30" s="47"/>
      <c r="E30" s="12">
        <f>+Y65/4</f>
        <v>2.629</v>
      </c>
      <c r="F30" s="12">
        <f>+E30</f>
        <v>2.629</v>
      </c>
      <c r="G30" s="12">
        <f>+F30</f>
        <v>2.629</v>
      </c>
      <c r="H30" s="12">
        <f>+G30</f>
        <v>2.629</v>
      </c>
      <c r="I30" s="12">
        <f>+H30*0.5</f>
        <v>1.3145</v>
      </c>
      <c r="J30" s="12"/>
      <c r="K30" s="12"/>
      <c r="L30" s="12"/>
      <c r="M30" s="27">
        <v>1.65</v>
      </c>
      <c r="N30" s="27">
        <v>1.65</v>
      </c>
      <c r="O30" s="27">
        <v>1.65</v>
      </c>
      <c r="P30" s="27">
        <v>1.65</v>
      </c>
      <c r="Q30" s="12"/>
      <c r="R30" s="12"/>
      <c r="S30" s="12"/>
      <c r="T30" s="12"/>
      <c r="U30" s="12"/>
      <c r="V30" s="12"/>
      <c r="X30" s="9"/>
      <c r="Y30" s="11"/>
    </row>
    <row r="31" spans="1:25" s="2" customFormat="1" ht="12.75">
      <c r="A31" s="31"/>
      <c r="B31" s="1" t="s">
        <v>25</v>
      </c>
      <c r="C31" s="68" t="s">
        <v>65</v>
      </c>
      <c r="D31" s="47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31" s="9"/>
      <c r="Y31" s="11"/>
    </row>
    <row r="32" spans="1:25" s="2" customFormat="1" ht="12.75">
      <c r="A32" s="31"/>
      <c r="B32" s="1" t="s">
        <v>34</v>
      </c>
      <c r="D32" s="47">
        <f aca="true" t="shared" si="12" ref="D32:K32">+$Y67/4</f>
        <v>2.875</v>
      </c>
      <c r="E32" s="12">
        <f t="shared" si="12"/>
        <v>2.875</v>
      </c>
      <c r="F32" s="12">
        <f t="shared" si="12"/>
        <v>2.875</v>
      </c>
      <c r="G32" s="12">
        <f t="shared" si="12"/>
        <v>2.875</v>
      </c>
      <c r="H32" s="12">
        <f t="shared" si="12"/>
        <v>2.875</v>
      </c>
      <c r="I32" s="12">
        <f t="shared" si="12"/>
        <v>2.875</v>
      </c>
      <c r="J32" s="12">
        <f t="shared" si="12"/>
        <v>2.875</v>
      </c>
      <c r="K32" s="12">
        <f t="shared" si="12"/>
        <v>2.875</v>
      </c>
      <c r="L32" s="127">
        <v>0.9</v>
      </c>
      <c r="M32" s="127">
        <f>+$Y67/4*0</f>
        <v>0</v>
      </c>
      <c r="N32" s="127">
        <f>+M32</f>
        <v>0</v>
      </c>
      <c r="O32" s="127">
        <f>+N32</f>
        <v>0</v>
      </c>
      <c r="P32" s="127">
        <f>+O32</f>
        <v>0</v>
      </c>
      <c r="Q32" s="127">
        <f>+P32*4</f>
        <v>0</v>
      </c>
      <c r="R32" s="127">
        <f>+Q32</f>
        <v>0</v>
      </c>
      <c r="S32" s="127">
        <f>+R32</f>
        <v>0</v>
      </c>
      <c r="T32" s="127">
        <f>+S32</f>
        <v>0</v>
      </c>
      <c r="U32" s="127">
        <f>+T32</f>
        <v>0</v>
      </c>
      <c r="V32" s="127">
        <f>+U32</f>
        <v>0</v>
      </c>
      <c r="X32" s="9"/>
      <c r="Y32" s="11"/>
    </row>
    <row r="33" spans="1:25" s="2" customFormat="1" ht="12.75">
      <c r="A33" s="31"/>
      <c r="B33" s="1" t="s">
        <v>14</v>
      </c>
      <c r="D33" s="47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X33" s="9"/>
      <c r="Y33" s="11"/>
    </row>
    <row r="34" spans="1:25" s="2" customFormat="1" ht="12.75">
      <c r="A34" s="31"/>
      <c r="B34" s="7" t="s">
        <v>27</v>
      </c>
      <c r="D34" s="47">
        <f aca="true" t="shared" si="13" ref="D34:P41">+$Y69/4</f>
        <v>2.1125000000000003</v>
      </c>
      <c r="E34" s="12">
        <f t="shared" si="13"/>
        <v>2.1125000000000003</v>
      </c>
      <c r="F34" s="12">
        <f t="shared" si="13"/>
        <v>2.1125000000000003</v>
      </c>
      <c r="G34" s="12">
        <f t="shared" si="13"/>
        <v>2.1125000000000003</v>
      </c>
      <c r="H34" s="12">
        <f t="shared" si="13"/>
        <v>2.1125000000000003</v>
      </c>
      <c r="I34" s="12">
        <f t="shared" si="13"/>
        <v>2.1125000000000003</v>
      </c>
      <c r="J34" s="12">
        <f t="shared" si="13"/>
        <v>2.1125000000000003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X34" s="9"/>
      <c r="Y34" s="11"/>
    </row>
    <row r="35" spans="1:25" s="2" customFormat="1" ht="12.75">
      <c r="A35" s="31"/>
      <c r="B35" s="1" t="s">
        <v>26</v>
      </c>
      <c r="D35" s="47">
        <f t="shared" si="13"/>
        <v>2.140625</v>
      </c>
      <c r="E35" s="12">
        <f t="shared" si="13"/>
        <v>2.140625</v>
      </c>
      <c r="F35" s="12">
        <f t="shared" si="13"/>
        <v>2.140625</v>
      </c>
      <c r="G35" s="12">
        <f t="shared" si="13"/>
        <v>2.140625</v>
      </c>
      <c r="H35" s="12">
        <f t="shared" si="13"/>
        <v>2.140625</v>
      </c>
      <c r="I35" s="12">
        <f t="shared" si="13"/>
        <v>2.140625</v>
      </c>
      <c r="J35" s="12">
        <f t="shared" si="13"/>
        <v>2.140625</v>
      </c>
      <c r="K35" s="12">
        <f t="shared" si="13"/>
        <v>2.140625</v>
      </c>
      <c r="L35" s="12">
        <f t="shared" si="13"/>
        <v>2.140625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X35" s="9"/>
      <c r="Y35" s="11"/>
    </row>
    <row r="36" spans="1:25" s="2" customFormat="1" ht="12.75">
      <c r="A36" s="31"/>
      <c r="B36" s="1" t="s">
        <v>28</v>
      </c>
      <c r="D36" s="47">
        <f t="shared" si="13"/>
        <v>3.640125</v>
      </c>
      <c r="E36" s="12">
        <f t="shared" si="13"/>
        <v>3.640125</v>
      </c>
      <c r="F36" s="12">
        <f t="shared" si="13"/>
        <v>3.640125</v>
      </c>
      <c r="G36" s="12">
        <f t="shared" si="13"/>
        <v>3.640125</v>
      </c>
      <c r="H36" s="12">
        <f t="shared" si="13"/>
        <v>3.640125</v>
      </c>
      <c r="I36" s="12">
        <f t="shared" si="13"/>
        <v>3.640125</v>
      </c>
      <c r="J36" s="12">
        <f t="shared" si="13"/>
        <v>3.640125</v>
      </c>
      <c r="K36" s="12">
        <f t="shared" si="13"/>
        <v>3.640125</v>
      </c>
      <c r="L36" s="12">
        <f t="shared" si="13"/>
        <v>3.640125</v>
      </c>
      <c r="M36" s="12">
        <f t="shared" si="13"/>
        <v>3.640125</v>
      </c>
      <c r="N36" s="12"/>
      <c r="O36" s="12"/>
      <c r="P36" s="12"/>
      <c r="Q36" s="12"/>
      <c r="R36" s="12"/>
      <c r="S36" s="12"/>
      <c r="T36" s="12"/>
      <c r="U36" s="12"/>
      <c r="V36" s="12"/>
      <c r="X36" s="9"/>
      <c r="Y36" s="11"/>
    </row>
    <row r="37" spans="1:25" s="2" customFormat="1" ht="12.75">
      <c r="A37" s="31"/>
      <c r="B37" s="1" t="s">
        <v>29</v>
      </c>
      <c r="D37" s="47">
        <f t="shared" si="13"/>
        <v>2.5185</v>
      </c>
      <c r="E37" s="12">
        <f t="shared" si="13"/>
        <v>2.5185</v>
      </c>
      <c r="F37" s="12">
        <f t="shared" si="13"/>
        <v>2.5185</v>
      </c>
      <c r="G37" s="12">
        <f t="shared" si="13"/>
        <v>2.5185</v>
      </c>
      <c r="H37" s="12">
        <f t="shared" si="13"/>
        <v>2.5185</v>
      </c>
      <c r="I37" s="12">
        <f t="shared" si="13"/>
        <v>2.5185</v>
      </c>
      <c r="J37" s="12">
        <f t="shared" si="13"/>
        <v>2.5185</v>
      </c>
      <c r="K37" s="12">
        <f t="shared" si="13"/>
        <v>2.5185</v>
      </c>
      <c r="L37" s="12">
        <f t="shared" si="13"/>
        <v>2.5185</v>
      </c>
      <c r="M37" s="12">
        <f t="shared" si="13"/>
        <v>2.5185</v>
      </c>
      <c r="N37" s="12">
        <f t="shared" si="13"/>
        <v>2.5185</v>
      </c>
      <c r="O37" s="12">
        <f t="shared" si="13"/>
        <v>2.5185</v>
      </c>
      <c r="P37" s="12">
        <f t="shared" si="13"/>
        <v>2.5185</v>
      </c>
      <c r="Q37" s="12">
        <v>1.5</v>
      </c>
      <c r="R37" s="12"/>
      <c r="S37" s="12"/>
      <c r="T37" s="12"/>
      <c r="U37" s="12"/>
      <c r="V37" s="12"/>
      <c r="X37" s="9"/>
      <c r="Y37" s="11"/>
    </row>
    <row r="38" spans="1:25" s="2" customFormat="1" ht="12.75">
      <c r="A38" s="31"/>
      <c r="B38" s="1" t="s">
        <v>30</v>
      </c>
      <c r="D38" s="47">
        <f t="shared" si="13"/>
        <v>4.2</v>
      </c>
      <c r="E38" s="12">
        <f t="shared" si="13"/>
        <v>4.2</v>
      </c>
      <c r="F38" s="12">
        <f t="shared" si="13"/>
        <v>4.2</v>
      </c>
      <c r="G38" s="12">
        <f t="shared" si="13"/>
        <v>4.2</v>
      </c>
      <c r="H38" s="12">
        <f t="shared" si="13"/>
        <v>4.2</v>
      </c>
      <c r="I38" s="12">
        <f t="shared" si="13"/>
        <v>4.2</v>
      </c>
      <c r="J38" s="12">
        <f t="shared" si="13"/>
        <v>4.2</v>
      </c>
      <c r="K38" s="12">
        <f t="shared" si="13"/>
        <v>4.2</v>
      </c>
      <c r="L38" s="12">
        <f t="shared" si="13"/>
        <v>4.2</v>
      </c>
      <c r="M38" s="12">
        <f t="shared" si="13"/>
        <v>4.2</v>
      </c>
      <c r="N38" s="12">
        <f t="shared" si="13"/>
        <v>4.2</v>
      </c>
      <c r="O38" s="12">
        <f t="shared" si="13"/>
        <v>4.2</v>
      </c>
      <c r="P38" s="12">
        <f t="shared" si="13"/>
        <v>4.2</v>
      </c>
      <c r="Q38" s="12">
        <f>+P38*4</f>
        <v>16.8</v>
      </c>
      <c r="R38" s="12">
        <f>+Q38/6</f>
        <v>2.8000000000000003</v>
      </c>
      <c r="S38" s="12"/>
      <c r="T38" s="12"/>
      <c r="U38" s="12"/>
      <c r="V38" s="12"/>
      <c r="X38" s="9"/>
      <c r="Y38" s="11"/>
    </row>
    <row r="39" spans="1:25" s="2" customFormat="1" ht="12.75">
      <c r="A39" s="31"/>
      <c r="B39" s="1" t="s">
        <v>31</v>
      </c>
      <c r="D39" s="47">
        <f t="shared" si="13"/>
        <v>1.769625</v>
      </c>
      <c r="E39" s="12">
        <f t="shared" si="13"/>
        <v>1.769625</v>
      </c>
      <c r="F39" s="12">
        <f t="shared" si="13"/>
        <v>1.769625</v>
      </c>
      <c r="G39" s="12">
        <f t="shared" si="13"/>
        <v>1.769625</v>
      </c>
      <c r="H39" s="12">
        <f t="shared" si="13"/>
        <v>1.769625</v>
      </c>
      <c r="I39" s="12">
        <f t="shared" si="13"/>
        <v>1.769625</v>
      </c>
      <c r="J39" s="12">
        <f t="shared" si="13"/>
        <v>1.769625</v>
      </c>
      <c r="K39" s="12">
        <f t="shared" si="13"/>
        <v>1.769625</v>
      </c>
      <c r="L39" s="12">
        <f t="shared" si="13"/>
        <v>1.769625</v>
      </c>
      <c r="M39" s="12">
        <f t="shared" si="13"/>
        <v>1.769625</v>
      </c>
      <c r="N39" s="12">
        <f t="shared" si="13"/>
        <v>1.769625</v>
      </c>
      <c r="O39" s="12">
        <f t="shared" si="13"/>
        <v>1.769625</v>
      </c>
      <c r="P39" s="12">
        <f t="shared" si="13"/>
        <v>1.769625</v>
      </c>
      <c r="Q39" s="12">
        <f>+P39*4</f>
        <v>7.0785</v>
      </c>
      <c r="R39" s="12">
        <f aca="true" t="shared" si="14" ref="R39:T41">+Q39</f>
        <v>7.0785</v>
      </c>
      <c r="S39" s="12">
        <f t="shared" si="14"/>
        <v>7.0785</v>
      </c>
      <c r="T39" s="12">
        <f t="shared" si="14"/>
        <v>7.0785</v>
      </c>
      <c r="U39" s="12">
        <f>+T39*0.9</f>
        <v>6.37065</v>
      </c>
      <c r="V39" s="12"/>
      <c r="X39" s="9"/>
      <c r="Y39" s="11"/>
    </row>
    <row r="40" spans="1:25" s="2" customFormat="1" ht="12.75">
      <c r="A40" s="31"/>
      <c r="B40" s="1" t="s">
        <v>32</v>
      </c>
      <c r="D40" s="47">
        <f t="shared" si="13"/>
        <v>5.8125</v>
      </c>
      <c r="E40" s="12">
        <f t="shared" si="13"/>
        <v>5.8125</v>
      </c>
      <c r="F40" s="12">
        <f t="shared" si="13"/>
        <v>5.8125</v>
      </c>
      <c r="G40" s="12">
        <f t="shared" si="13"/>
        <v>5.8125</v>
      </c>
      <c r="H40" s="12">
        <f t="shared" si="13"/>
        <v>5.8125</v>
      </c>
      <c r="I40" s="12">
        <f t="shared" si="13"/>
        <v>5.8125</v>
      </c>
      <c r="J40" s="12">
        <f t="shared" si="13"/>
        <v>5.8125</v>
      </c>
      <c r="K40" s="12">
        <f t="shared" si="13"/>
        <v>5.8125</v>
      </c>
      <c r="L40" s="12">
        <f t="shared" si="13"/>
        <v>5.8125</v>
      </c>
      <c r="M40" s="12">
        <f t="shared" si="13"/>
        <v>5.8125</v>
      </c>
      <c r="N40" s="12">
        <f t="shared" si="13"/>
        <v>5.8125</v>
      </c>
      <c r="O40" s="12">
        <f t="shared" si="13"/>
        <v>5.8125</v>
      </c>
      <c r="P40" s="12">
        <f t="shared" si="13"/>
        <v>5.8125</v>
      </c>
      <c r="Q40" s="12">
        <f>+P40*4</f>
        <v>23.25</v>
      </c>
      <c r="R40" s="12">
        <f t="shared" si="14"/>
        <v>23.25</v>
      </c>
      <c r="S40" s="12">
        <f t="shared" si="14"/>
        <v>23.25</v>
      </c>
      <c r="T40" s="12">
        <f t="shared" si="14"/>
        <v>23.25</v>
      </c>
      <c r="U40" s="12">
        <f>+T40</f>
        <v>23.25</v>
      </c>
      <c r="V40" s="12">
        <f>+U40*0.25</f>
        <v>5.8125</v>
      </c>
      <c r="X40" s="9"/>
      <c r="Y40" s="11"/>
    </row>
    <row r="41" spans="1:25" s="2" customFormat="1" ht="12.75">
      <c r="A41" s="31"/>
      <c r="B41" s="1" t="s">
        <v>33</v>
      </c>
      <c r="D41" s="47">
        <f t="shared" si="13"/>
        <v>0.265625</v>
      </c>
      <c r="E41" s="12">
        <f t="shared" si="13"/>
        <v>0.265625</v>
      </c>
      <c r="F41" s="12">
        <f t="shared" si="13"/>
        <v>0.265625</v>
      </c>
      <c r="G41" s="12">
        <f t="shared" si="13"/>
        <v>0.265625</v>
      </c>
      <c r="H41" s="12">
        <f t="shared" si="13"/>
        <v>0.265625</v>
      </c>
      <c r="I41" s="12">
        <f t="shared" si="13"/>
        <v>0.265625</v>
      </c>
      <c r="J41" s="12">
        <f t="shared" si="13"/>
        <v>0.265625</v>
      </c>
      <c r="K41" s="12">
        <f t="shared" si="13"/>
        <v>0.265625</v>
      </c>
      <c r="L41" s="12">
        <f t="shared" si="13"/>
        <v>0.265625</v>
      </c>
      <c r="M41" s="12">
        <f t="shared" si="13"/>
        <v>0.265625</v>
      </c>
      <c r="N41" s="12">
        <f t="shared" si="13"/>
        <v>0.265625</v>
      </c>
      <c r="O41" s="12">
        <f t="shared" si="13"/>
        <v>0.265625</v>
      </c>
      <c r="P41" s="12">
        <f t="shared" si="13"/>
        <v>0.265625</v>
      </c>
      <c r="Q41" s="12">
        <f>+P41*4</f>
        <v>1.0625</v>
      </c>
      <c r="R41" s="12">
        <f t="shared" si="14"/>
        <v>1.0625</v>
      </c>
      <c r="S41" s="12">
        <f t="shared" si="14"/>
        <v>1.0625</v>
      </c>
      <c r="T41" s="12">
        <f t="shared" si="14"/>
        <v>1.0625</v>
      </c>
      <c r="U41" s="12">
        <f>+T41</f>
        <v>1.0625</v>
      </c>
      <c r="V41" s="12">
        <f>+U41</f>
        <v>1.0625</v>
      </c>
      <c r="X41" s="9"/>
      <c r="Y41" s="11"/>
    </row>
    <row r="42" spans="1:25" s="2" customFormat="1" ht="12.75">
      <c r="A42" s="31"/>
      <c r="B42" s="19" t="s">
        <v>101</v>
      </c>
      <c r="D42" s="47">
        <f>35.6-28.7</f>
        <v>6.900000000000002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X42" s="9"/>
      <c r="Y42" s="11"/>
    </row>
    <row r="43" spans="1:25" s="2" customFormat="1" ht="12.75">
      <c r="A43" s="31"/>
      <c r="B43" s="25" t="s">
        <v>39</v>
      </c>
      <c r="D43" s="47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43" s="9"/>
      <c r="Y43" s="11"/>
    </row>
    <row r="44" spans="1:25" s="2" customFormat="1" ht="12.75">
      <c r="A44" s="31"/>
      <c r="B44" s="2" t="s">
        <v>18</v>
      </c>
      <c r="D44" s="47">
        <v>27.3</v>
      </c>
      <c r="E44" s="12">
        <v>32.5</v>
      </c>
      <c r="F44" s="12">
        <f aca="true" t="shared" si="15" ref="F44:P44">+E44</f>
        <v>32.5</v>
      </c>
      <c r="G44" s="12">
        <f t="shared" si="15"/>
        <v>32.5</v>
      </c>
      <c r="H44" s="12">
        <f t="shared" si="15"/>
        <v>32.5</v>
      </c>
      <c r="I44" s="12">
        <v>35</v>
      </c>
      <c r="J44" s="12">
        <f t="shared" si="15"/>
        <v>35</v>
      </c>
      <c r="K44" s="12">
        <f t="shared" si="15"/>
        <v>35</v>
      </c>
      <c r="L44" s="12">
        <f t="shared" si="15"/>
        <v>35</v>
      </c>
      <c r="M44" s="12">
        <f t="shared" si="15"/>
        <v>35</v>
      </c>
      <c r="N44" s="12">
        <f t="shared" si="15"/>
        <v>35</v>
      </c>
      <c r="O44" s="12">
        <f t="shared" si="15"/>
        <v>35</v>
      </c>
      <c r="P44" s="12">
        <f t="shared" si="15"/>
        <v>35</v>
      </c>
      <c r="Q44" s="12">
        <f>+P44*4</f>
        <v>140</v>
      </c>
      <c r="R44" s="12">
        <f>+Q44</f>
        <v>140</v>
      </c>
      <c r="S44" s="12">
        <f>+R44</f>
        <v>140</v>
      </c>
      <c r="T44" s="12">
        <f>+S44</f>
        <v>140</v>
      </c>
      <c r="U44" s="12">
        <f>+T44</f>
        <v>140</v>
      </c>
      <c r="V44" s="12">
        <f>+U44</f>
        <v>140</v>
      </c>
      <c r="X44" s="9"/>
      <c r="Y44" s="11"/>
    </row>
    <row r="45" spans="1:25" s="2" customFormat="1" ht="12.75">
      <c r="A45" s="31"/>
      <c r="B45" s="2" t="s">
        <v>13</v>
      </c>
      <c r="D45" s="47"/>
      <c r="E45" s="12">
        <v>0</v>
      </c>
      <c r="F45" s="12">
        <f>+E45</f>
        <v>0</v>
      </c>
      <c r="G45" s="12">
        <f>+F45</f>
        <v>0</v>
      </c>
      <c r="H45" s="12">
        <f>+G45</f>
        <v>0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X45" s="9"/>
      <c r="Y45" s="11"/>
    </row>
    <row r="46" spans="1:25" s="2" customFormat="1" ht="12.75">
      <c r="A46" s="31"/>
      <c r="D46" s="4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X46" s="9"/>
      <c r="Y46" s="11"/>
    </row>
    <row r="47" spans="1:25" s="2" customFormat="1" ht="12.75">
      <c r="A47" s="31"/>
      <c r="B47" s="2" t="s">
        <v>71</v>
      </c>
      <c r="D47" s="47">
        <v>14.7</v>
      </c>
      <c r="E47" s="12">
        <v>12.5</v>
      </c>
      <c r="F47" s="12">
        <f>+E47</f>
        <v>12.5</v>
      </c>
      <c r="G47" s="12">
        <f aca="true" t="shared" si="16" ref="G47:P47">+F47</f>
        <v>12.5</v>
      </c>
      <c r="H47" s="12">
        <f t="shared" si="16"/>
        <v>12.5</v>
      </c>
      <c r="I47" s="12">
        <f t="shared" si="16"/>
        <v>12.5</v>
      </c>
      <c r="J47" s="12">
        <f t="shared" si="16"/>
        <v>12.5</v>
      </c>
      <c r="K47" s="12">
        <f t="shared" si="16"/>
        <v>12.5</v>
      </c>
      <c r="L47" s="12">
        <f t="shared" si="16"/>
        <v>12.5</v>
      </c>
      <c r="M47" s="12">
        <f t="shared" si="16"/>
        <v>12.5</v>
      </c>
      <c r="N47" s="12">
        <f t="shared" si="16"/>
        <v>12.5</v>
      </c>
      <c r="O47" s="12">
        <f t="shared" si="16"/>
        <v>12.5</v>
      </c>
      <c r="P47" s="12">
        <f t="shared" si="16"/>
        <v>12.5</v>
      </c>
      <c r="Q47" s="12">
        <f>+P47*4</f>
        <v>50</v>
      </c>
      <c r="R47" s="12">
        <f>+Q47</f>
        <v>50</v>
      </c>
      <c r="S47" s="12">
        <f>+R47</f>
        <v>50</v>
      </c>
      <c r="T47" s="12">
        <f>+S47</f>
        <v>50</v>
      </c>
      <c r="U47" s="12">
        <f>+T47</f>
        <v>50</v>
      </c>
      <c r="V47" s="12">
        <f>+U47</f>
        <v>50</v>
      </c>
      <c r="X47" s="9"/>
      <c r="Y47" s="11"/>
    </row>
    <row r="48" spans="1:25" s="2" customFormat="1" ht="12.75">
      <c r="A48" s="31"/>
      <c r="D48" s="47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X48" s="9"/>
      <c r="Y48" s="11"/>
    </row>
    <row r="49" spans="1:25" s="2" customFormat="1" ht="12.75">
      <c r="A49" s="31"/>
      <c r="B49" s="2" t="s">
        <v>102</v>
      </c>
      <c r="D49" s="47">
        <v>2.9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X49" s="9"/>
      <c r="Y49" s="11"/>
    </row>
    <row r="50" spans="1:25" s="2" customFormat="1" ht="12.75">
      <c r="A50" s="31"/>
      <c r="B50" s="2" t="s">
        <v>103</v>
      </c>
      <c r="D50" s="47">
        <v>0.5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X50" s="9"/>
      <c r="Y50" s="11"/>
    </row>
    <row r="51" spans="1:25" s="2" customFormat="1" ht="12.75">
      <c r="A51" s="31"/>
      <c r="B51" s="25" t="s">
        <v>19</v>
      </c>
      <c r="C51" s="108" t="s">
        <v>107</v>
      </c>
      <c r="D51" s="47">
        <v>10</v>
      </c>
      <c r="E51" s="12">
        <v>0</v>
      </c>
      <c r="F51" s="12">
        <v>0</v>
      </c>
      <c r="G51" s="12">
        <f aca="true" t="shared" si="17" ref="G51:P51">+F51</f>
        <v>0</v>
      </c>
      <c r="H51" s="12">
        <f t="shared" si="17"/>
        <v>0</v>
      </c>
      <c r="I51" s="12">
        <f t="shared" si="17"/>
        <v>0</v>
      </c>
      <c r="J51" s="12">
        <f t="shared" si="17"/>
        <v>0</v>
      </c>
      <c r="K51" s="12">
        <f t="shared" si="17"/>
        <v>0</v>
      </c>
      <c r="L51" s="12">
        <f t="shared" si="17"/>
        <v>0</v>
      </c>
      <c r="M51" s="12">
        <f t="shared" si="17"/>
        <v>0</v>
      </c>
      <c r="N51" s="12">
        <f t="shared" si="17"/>
        <v>0</v>
      </c>
      <c r="O51" s="12">
        <f t="shared" si="17"/>
        <v>0</v>
      </c>
      <c r="P51" s="12">
        <f t="shared" si="17"/>
        <v>0</v>
      </c>
      <c r="Q51" s="12">
        <f>+P51*4</f>
        <v>0</v>
      </c>
      <c r="R51" s="12">
        <f>+Q51</f>
        <v>0</v>
      </c>
      <c r="S51" s="12">
        <f>+R51</f>
        <v>0</v>
      </c>
      <c r="T51" s="12">
        <f>+S51</f>
        <v>0</v>
      </c>
      <c r="U51" s="12">
        <f>+T51</f>
        <v>0</v>
      </c>
      <c r="V51" s="12">
        <f>+U51</f>
        <v>0</v>
      </c>
      <c r="X51" s="9"/>
      <c r="Y51" s="11"/>
    </row>
    <row r="52" spans="1:25" s="2" customFormat="1" ht="12.75">
      <c r="A52" s="31"/>
      <c r="C52" s="108"/>
      <c r="D52" s="48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X52" s="9"/>
      <c r="Y52" s="11"/>
    </row>
    <row r="53" spans="1:25" s="26" customFormat="1" ht="12.75">
      <c r="A53" s="32" t="s">
        <v>40</v>
      </c>
      <c r="B53" s="25" t="s">
        <v>21</v>
      </c>
      <c r="D53" s="46">
        <f>SUM(D28:D52)</f>
        <v>90.9595</v>
      </c>
      <c r="E53" s="27">
        <f>SUM(E28:E52)</f>
        <v>75.0335</v>
      </c>
      <c r="F53" s="27">
        <f aca="true" t="shared" si="18" ref="F53:R53">SUM(F28:F52)</f>
        <v>74.74600000000001</v>
      </c>
      <c r="G53" s="27">
        <f t="shared" si="18"/>
        <v>74.4585</v>
      </c>
      <c r="H53" s="27">
        <f t="shared" si="18"/>
        <v>74.17099999999999</v>
      </c>
      <c r="I53" s="27">
        <f t="shared" si="18"/>
        <v>75.069</v>
      </c>
      <c r="J53" s="27">
        <f t="shared" si="18"/>
        <v>72.8345</v>
      </c>
      <c r="K53" s="27">
        <f t="shared" si="18"/>
        <v>70.72200000000001</v>
      </c>
      <c r="L53" s="27">
        <f t="shared" si="18"/>
        <v>68.747</v>
      </c>
      <c r="M53" s="27">
        <f t="shared" si="18"/>
        <v>67.356375</v>
      </c>
      <c r="N53" s="27">
        <f t="shared" si="18"/>
        <v>63.71625</v>
      </c>
      <c r="O53" s="27">
        <f t="shared" si="18"/>
        <v>63.71625</v>
      </c>
      <c r="P53" s="27">
        <f t="shared" si="18"/>
        <v>63.71625</v>
      </c>
      <c r="Q53" s="27">
        <f t="shared" si="18"/>
        <v>239.691</v>
      </c>
      <c r="R53" s="27">
        <f t="shared" si="18"/>
        <v>224.191</v>
      </c>
      <c r="S53" s="27">
        <f>SUM(S28:S52)</f>
        <v>221.391</v>
      </c>
      <c r="T53" s="27">
        <f>SUM(T28:T52)</f>
        <v>221.391</v>
      </c>
      <c r="U53" s="27">
        <f>SUM(U28:U52)</f>
        <v>220.68315</v>
      </c>
      <c r="V53" s="27">
        <f>SUM(V28:V52)</f>
        <v>196.875</v>
      </c>
      <c r="X53" s="28"/>
      <c r="Y53" s="29"/>
    </row>
    <row r="54" spans="1:25" s="26" customFormat="1" ht="12.75">
      <c r="A54" s="32"/>
      <c r="B54" s="25"/>
      <c r="D54" s="4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X54" s="28"/>
      <c r="Y54" s="29"/>
    </row>
    <row r="55" spans="1:25" s="26" customFormat="1" ht="12.75">
      <c r="A55" s="32"/>
      <c r="B55" s="3" t="s">
        <v>35</v>
      </c>
      <c r="C55" s="3"/>
      <c r="D55" s="47">
        <v>52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X55" s="28"/>
      <c r="Y55" s="29"/>
    </row>
    <row r="56" spans="1:25" s="2" customFormat="1" ht="12.75">
      <c r="A56" s="31"/>
      <c r="B56" s="3" t="s">
        <v>54</v>
      </c>
      <c r="C56" s="3"/>
      <c r="D56" s="48">
        <v>72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X56" s="9"/>
      <c r="Y56" s="11"/>
    </row>
    <row r="57" spans="1:25" s="26" customFormat="1" ht="13.5" thickBot="1">
      <c r="A57" s="32" t="s">
        <v>41</v>
      </c>
      <c r="B57" s="25" t="s">
        <v>43</v>
      </c>
      <c r="C57" s="32" t="s">
        <v>44</v>
      </c>
      <c r="D57" s="49">
        <f>+D23-D53+D56+D55</f>
        <v>180.1759</v>
      </c>
      <c r="E57" s="33">
        <f aca="true" t="shared" si="19" ref="E57:R57">+E23-E53</f>
        <v>68.03094240000001</v>
      </c>
      <c r="F57" s="33">
        <f t="shared" si="19"/>
        <v>63.92249620800001</v>
      </c>
      <c r="G57" s="33">
        <f t="shared" si="19"/>
        <v>59.75720692578399</v>
      </c>
      <c r="H57" s="33">
        <f t="shared" si="19"/>
        <v>56.88143801942451</v>
      </c>
      <c r="I57" s="33">
        <f t="shared" si="19"/>
        <v>52.19119784361472</v>
      </c>
      <c r="J57" s="33">
        <f t="shared" si="19"/>
        <v>50.96849765883046</v>
      </c>
      <c r="K57" s="33">
        <f t="shared" si="19"/>
        <v>49.94817253974206</v>
      </c>
      <c r="L57" s="33">
        <f t="shared" si="19"/>
        <v>49.104863893786714</v>
      </c>
      <c r="M57" s="33">
        <f t="shared" si="19"/>
        <v>48.72731465510647</v>
      </c>
      <c r="N57" s="33">
        <f t="shared" si="19"/>
        <v>50.830843932697206</v>
      </c>
      <c r="O57" s="33">
        <f t="shared" si="19"/>
        <v>49.52255732008268</v>
      </c>
      <c r="P57" s="33">
        <f t="shared" si="19"/>
        <v>48.43976566684228</v>
      </c>
      <c r="Q57" s="142">
        <f t="shared" si="19"/>
        <v>208.93306266736911</v>
      </c>
      <c r="R57" s="142">
        <f t="shared" si="19"/>
        <v>212.0860116889426</v>
      </c>
      <c r="S57" s="142">
        <f>+S23-S53</f>
        <v>246.4802827814079</v>
      </c>
      <c r="T57" s="142">
        <f>+T23-T53</f>
        <v>282.813694537743</v>
      </c>
      <c r="U57" s="142">
        <f>+U23-U53</f>
        <v>325.30496805752836</v>
      </c>
      <c r="V57" s="142">
        <f>+V23-V53</f>
        <v>397.1640551052815</v>
      </c>
      <c r="X57" s="28"/>
      <c r="Y57" s="29"/>
    </row>
    <row r="58" spans="1:25" s="26" customFormat="1" ht="13.5" thickTop="1">
      <c r="A58" s="32"/>
      <c r="B58" s="25"/>
      <c r="C58" s="32"/>
      <c r="D58" s="46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X58" s="28"/>
      <c r="Y58" s="29"/>
    </row>
    <row r="59" spans="1:25" s="26" customFormat="1" ht="12.75">
      <c r="A59" s="32"/>
      <c r="B59" s="25"/>
      <c r="C59" s="32"/>
      <c r="D59" s="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X59" s="28"/>
      <c r="Y59" s="29"/>
    </row>
    <row r="60" spans="1:25" s="26" customFormat="1" ht="12.75">
      <c r="A60" s="32"/>
      <c r="B60" s="25"/>
      <c r="C60" s="32"/>
      <c r="D60" s="46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X60" s="28"/>
      <c r="Y60" s="29"/>
    </row>
    <row r="61" spans="1:25" s="26" customFormat="1" ht="12.75">
      <c r="A61" s="32"/>
      <c r="B61" s="25"/>
      <c r="C61" s="32"/>
      <c r="D61" s="46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X61" s="28"/>
      <c r="Y61" s="29"/>
    </row>
    <row r="62" spans="1:25" s="2" customFormat="1" ht="12.75">
      <c r="A62" s="31"/>
      <c r="B62" s="3"/>
      <c r="C62" s="3"/>
      <c r="D62" s="4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X62" s="39" t="s">
        <v>55</v>
      </c>
      <c r="Y62" s="40" t="s">
        <v>49</v>
      </c>
    </row>
    <row r="63" spans="2:25" ht="12.75">
      <c r="B63" s="54" t="s">
        <v>22</v>
      </c>
      <c r="D63" s="5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X63" s="41" t="s">
        <v>22</v>
      </c>
      <c r="Y63" s="42" t="s">
        <v>48</v>
      </c>
    </row>
    <row r="64" spans="1:25" ht="12.75">
      <c r="A64" s="17" t="s">
        <v>42</v>
      </c>
      <c r="B64" s="1" t="s">
        <v>87</v>
      </c>
      <c r="C64" s="1">
        <v>250</v>
      </c>
      <c r="D64" s="50">
        <v>45</v>
      </c>
      <c r="E64" s="14">
        <v>25</v>
      </c>
      <c r="F64" s="14">
        <v>25</v>
      </c>
      <c r="G64" s="14">
        <v>25</v>
      </c>
      <c r="H64" s="14">
        <v>25</v>
      </c>
      <c r="I64" s="14">
        <f>250-(+D64+E64+F64+G64+H64)</f>
        <v>105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X64" s="10">
        <f>+C64-D64-E64</f>
        <v>180</v>
      </c>
      <c r="Y64" s="5">
        <f>+X64*0.044</f>
        <v>7.92</v>
      </c>
    </row>
    <row r="65" spans="1:25" ht="12.75">
      <c r="A65" s="17" t="s">
        <v>42</v>
      </c>
      <c r="B65" s="1" t="s">
        <v>88</v>
      </c>
      <c r="C65" s="1">
        <v>16</v>
      </c>
      <c r="D65" s="50">
        <v>16</v>
      </c>
      <c r="E65" s="36">
        <v>-239</v>
      </c>
      <c r="F65" s="14"/>
      <c r="G65" s="14"/>
      <c r="H65" s="14"/>
      <c r="I65" s="36">
        <v>239</v>
      </c>
      <c r="J65" s="14"/>
      <c r="K65" s="14"/>
      <c r="L65" s="14"/>
      <c r="M65" s="143">
        <v>-150</v>
      </c>
      <c r="N65" s="14"/>
      <c r="O65" s="14"/>
      <c r="P65" s="143">
        <v>150</v>
      </c>
      <c r="Q65" s="14"/>
      <c r="R65" s="14"/>
      <c r="S65" s="14"/>
      <c r="T65" s="14"/>
      <c r="U65" s="14"/>
      <c r="V65" s="14"/>
      <c r="X65" s="10">
        <v>239</v>
      </c>
      <c r="Y65" s="5">
        <f>+X65*0.044</f>
        <v>10.516</v>
      </c>
    </row>
    <row r="66" spans="1:24" ht="12.75">
      <c r="A66" s="17" t="s">
        <v>42</v>
      </c>
      <c r="B66" s="1" t="s">
        <v>25</v>
      </c>
      <c r="C66" s="1">
        <v>35</v>
      </c>
      <c r="D66" s="50">
        <v>35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X66" s="10">
        <f>+C66-D66</f>
        <v>0</v>
      </c>
    </row>
    <row r="67" spans="1:25" ht="12.75">
      <c r="A67" s="17" t="s">
        <v>42</v>
      </c>
      <c r="B67" s="102" t="s">
        <v>34</v>
      </c>
      <c r="C67" s="8">
        <f>+X67</f>
        <v>184</v>
      </c>
      <c r="D67" s="5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>
        <v>184</v>
      </c>
      <c r="T67" s="14"/>
      <c r="U67" s="14"/>
      <c r="V67" s="14"/>
      <c r="X67" s="10">
        <f aca="true" t="shared" si="20" ref="X67:X76">SUM(D67:W67)</f>
        <v>184</v>
      </c>
      <c r="Y67" s="5">
        <f>+X67*0.0625</f>
        <v>11.5</v>
      </c>
    </row>
    <row r="68" spans="1:22" ht="12.75">
      <c r="A68" s="17" t="s">
        <v>42</v>
      </c>
      <c r="B68" s="19" t="s">
        <v>14</v>
      </c>
      <c r="C68" s="1"/>
      <c r="D68" s="5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5" ht="12.75">
      <c r="A69" s="17" t="s">
        <v>42</v>
      </c>
      <c r="B69" s="7" t="s">
        <v>27</v>
      </c>
      <c r="C69" s="8">
        <v>130</v>
      </c>
      <c r="D69" s="50"/>
      <c r="E69" s="14"/>
      <c r="F69" s="14"/>
      <c r="G69" s="14"/>
      <c r="H69" s="14"/>
      <c r="I69" s="14"/>
      <c r="J69" s="14"/>
      <c r="K69" s="14">
        <v>130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X69" s="10">
        <f t="shared" si="20"/>
        <v>130</v>
      </c>
      <c r="Y69" s="5">
        <f>+X69*0.065</f>
        <v>8.450000000000001</v>
      </c>
    </row>
    <row r="70" spans="1:25" ht="12.75">
      <c r="A70" s="17" t="s">
        <v>42</v>
      </c>
      <c r="B70" s="1" t="s">
        <v>26</v>
      </c>
      <c r="C70" s="8">
        <v>125</v>
      </c>
      <c r="D70" s="50"/>
      <c r="E70" s="14"/>
      <c r="F70" s="14"/>
      <c r="G70" s="14"/>
      <c r="H70" s="14"/>
      <c r="I70" s="14"/>
      <c r="J70" s="14"/>
      <c r="K70" s="14"/>
      <c r="L70" s="14">
        <v>125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X70" s="10">
        <f t="shared" si="20"/>
        <v>125</v>
      </c>
      <c r="Y70" s="5">
        <f>+X70*0.0685</f>
        <v>8.5625</v>
      </c>
    </row>
    <row r="71" spans="1:25" ht="12.75">
      <c r="A71" s="17" t="s">
        <v>42</v>
      </c>
      <c r="B71" s="1" t="s">
        <v>28</v>
      </c>
      <c r="C71" s="8">
        <v>255</v>
      </c>
      <c r="D71" s="50"/>
      <c r="E71" s="14"/>
      <c r="F71" s="14"/>
      <c r="G71" s="14"/>
      <c r="H71" s="14"/>
      <c r="I71" s="14"/>
      <c r="J71" s="14"/>
      <c r="K71" s="14"/>
      <c r="L71" s="14"/>
      <c r="M71" s="14"/>
      <c r="N71" s="14">
        <v>255</v>
      </c>
      <c r="O71" s="14"/>
      <c r="P71" s="14"/>
      <c r="Q71" s="14"/>
      <c r="R71" s="14"/>
      <c r="S71" s="14"/>
      <c r="T71" s="14"/>
      <c r="U71" s="14"/>
      <c r="V71" s="14"/>
      <c r="X71" s="10">
        <f t="shared" si="20"/>
        <v>255</v>
      </c>
      <c r="Y71" s="5">
        <f>+X71*0.0571</f>
        <v>14.5605</v>
      </c>
    </row>
    <row r="72" spans="1:25" ht="12.75">
      <c r="A72" s="17" t="s">
        <v>42</v>
      </c>
      <c r="B72" s="1" t="s">
        <v>29</v>
      </c>
      <c r="C72" s="8">
        <v>138</v>
      </c>
      <c r="D72" s="50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>
        <v>138</v>
      </c>
      <c r="R72" s="14"/>
      <c r="S72" s="14"/>
      <c r="T72" s="14"/>
      <c r="U72" s="14"/>
      <c r="V72" s="14"/>
      <c r="X72" s="10">
        <f t="shared" si="20"/>
        <v>138</v>
      </c>
      <c r="Y72" s="5">
        <f>+X72*0.073</f>
        <v>10.074</v>
      </c>
    </row>
    <row r="73" spans="1:25" ht="12.75">
      <c r="A73" s="17" t="s">
        <v>42</v>
      </c>
      <c r="B73" s="1" t="s">
        <v>30</v>
      </c>
      <c r="C73" s="8">
        <v>320</v>
      </c>
      <c r="D73" s="50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>
        <v>320</v>
      </c>
      <c r="S73" s="14"/>
      <c r="T73" s="14"/>
      <c r="U73" s="14"/>
      <c r="V73" s="14"/>
      <c r="X73" s="10">
        <f t="shared" si="20"/>
        <v>320</v>
      </c>
      <c r="Y73" s="5">
        <f>+X73*0.0525</f>
        <v>16.8</v>
      </c>
    </row>
    <row r="74" spans="1:25" ht="12.75">
      <c r="A74" s="17" t="s">
        <v>42</v>
      </c>
      <c r="B74" s="1" t="s">
        <v>31</v>
      </c>
      <c r="C74" s="8">
        <v>121</v>
      </c>
      <c r="D74" s="50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>
        <v>121</v>
      </c>
      <c r="V74" s="14"/>
      <c r="X74" s="10">
        <f t="shared" si="20"/>
        <v>121</v>
      </c>
      <c r="Y74" s="5">
        <f>+X74*0.0585</f>
        <v>7.0785</v>
      </c>
    </row>
    <row r="75" spans="1:25" ht="12.75">
      <c r="A75" s="17" t="s">
        <v>42</v>
      </c>
      <c r="B75" s="1" t="s">
        <v>32</v>
      </c>
      <c r="C75" s="8">
        <v>300</v>
      </c>
      <c r="D75" s="50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>
        <v>300</v>
      </c>
      <c r="X75" s="10">
        <f t="shared" si="20"/>
        <v>300</v>
      </c>
      <c r="Y75" s="5">
        <f>+X75*0.0775</f>
        <v>23.25</v>
      </c>
    </row>
    <row r="76" spans="1:25" ht="12.75">
      <c r="A76" s="17" t="s">
        <v>42</v>
      </c>
      <c r="B76" s="1" t="s">
        <v>33</v>
      </c>
      <c r="C76" s="8">
        <v>17</v>
      </c>
      <c r="D76" s="50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>
        <v>17</v>
      </c>
      <c r="X76" s="10">
        <f t="shared" si="20"/>
        <v>17</v>
      </c>
      <c r="Y76" s="5">
        <f>+X76*0.0625</f>
        <v>1.0625</v>
      </c>
    </row>
    <row r="77" spans="2:22" ht="13.5" thickBot="1">
      <c r="B77" s="19" t="s">
        <v>69</v>
      </c>
      <c r="C77" s="70">
        <f>SUM(C64:C76)</f>
        <v>1891</v>
      </c>
      <c r="D77" s="50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5" s="16" customFormat="1" ht="14.25" thickBot="1" thickTop="1">
      <c r="A78" s="17" t="s">
        <v>45</v>
      </c>
      <c r="B78" s="16" t="s">
        <v>53</v>
      </c>
      <c r="C78" s="17" t="s">
        <v>51</v>
      </c>
      <c r="D78" s="117">
        <f aca="true" t="shared" si="21" ref="D78:R78">-SUM(D62:D77)+D57</f>
        <v>84.17590000000001</v>
      </c>
      <c r="E78" s="118">
        <f t="shared" si="21"/>
        <v>282.0309424</v>
      </c>
      <c r="F78" s="118">
        <f t="shared" si="21"/>
        <v>38.92249620800001</v>
      </c>
      <c r="G78" s="118">
        <f t="shared" si="21"/>
        <v>34.75720692578399</v>
      </c>
      <c r="H78" s="118">
        <f t="shared" si="21"/>
        <v>31.881438019424508</v>
      </c>
      <c r="I78" s="118">
        <f t="shared" si="21"/>
        <v>-291.8088021563853</v>
      </c>
      <c r="J78" s="118">
        <f t="shared" si="21"/>
        <v>50.96849765883046</v>
      </c>
      <c r="K78" s="118">
        <f t="shared" si="21"/>
        <v>-80.05182746025794</v>
      </c>
      <c r="L78" s="118">
        <f t="shared" si="21"/>
        <v>-75.89513610621329</v>
      </c>
      <c r="M78" s="118">
        <f t="shared" si="21"/>
        <v>198.72731465510645</v>
      </c>
      <c r="N78" s="118">
        <f t="shared" si="21"/>
        <v>-204.1691560673028</v>
      </c>
      <c r="O78" s="118">
        <f t="shared" si="21"/>
        <v>49.52255732008268</v>
      </c>
      <c r="P78" s="118">
        <f t="shared" si="21"/>
        <v>-101.56023433315772</v>
      </c>
      <c r="Q78" s="118">
        <f t="shared" si="21"/>
        <v>70.93306266736911</v>
      </c>
      <c r="R78" s="118">
        <f t="shared" si="21"/>
        <v>-107.91398831105741</v>
      </c>
      <c r="S78" s="118">
        <f>-SUM(S62:S77)+S57</f>
        <v>62.48028278140791</v>
      </c>
      <c r="T78" s="118">
        <f>-SUM(T62:T77)+T57</f>
        <v>282.813694537743</v>
      </c>
      <c r="U78" s="118">
        <f>-SUM(U62:U77)+U57</f>
        <v>204.30496805752836</v>
      </c>
      <c r="V78" s="118">
        <f>-SUM(V62:V77)+V57</f>
        <v>80.16405510528148</v>
      </c>
      <c r="W78" s="35"/>
      <c r="X78" s="57">
        <f>SUM(X62:X77)</f>
        <v>2009</v>
      </c>
      <c r="Y78" s="57">
        <f>SUM(Y62:Y77)</f>
        <v>119.774</v>
      </c>
    </row>
    <row r="79" spans="4:23" ht="14.25" thickBot="1" thickTop="1">
      <c r="D79" s="50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4"/>
    </row>
    <row r="80" spans="1:25" s="16" customFormat="1" ht="13.5" thickBot="1">
      <c r="A80" s="115" t="s">
        <v>52</v>
      </c>
      <c r="B80" s="116" t="s">
        <v>23</v>
      </c>
      <c r="C80" s="116"/>
      <c r="D80" s="119">
        <f>+D78</f>
        <v>84.17590000000001</v>
      </c>
      <c r="E80" s="120">
        <f>+D80+E78</f>
        <v>366.2068424</v>
      </c>
      <c r="F80" s="120">
        <f aca="true" t="shared" si="22" ref="F80:R80">+E80+F78</f>
        <v>405.129338608</v>
      </c>
      <c r="G80" s="120">
        <f t="shared" si="22"/>
        <v>439.886545533784</v>
      </c>
      <c r="H80" s="120">
        <f t="shared" si="22"/>
        <v>471.7679835532085</v>
      </c>
      <c r="I80" s="120">
        <f t="shared" si="22"/>
        <v>179.95918139682323</v>
      </c>
      <c r="J80" s="120">
        <f t="shared" si="22"/>
        <v>230.9276790556537</v>
      </c>
      <c r="K80" s="120">
        <f t="shared" si="22"/>
        <v>150.87585159539577</v>
      </c>
      <c r="L80" s="121">
        <f t="shared" si="22"/>
        <v>74.98071548918249</v>
      </c>
      <c r="M80" s="120">
        <f t="shared" si="22"/>
        <v>273.70803014428895</v>
      </c>
      <c r="N80" s="121">
        <f t="shared" si="22"/>
        <v>69.53887407698616</v>
      </c>
      <c r="O80" s="120">
        <f t="shared" si="22"/>
        <v>119.06143139706884</v>
      </c>
      <c r="P80" s="120">
        <f t="shared" si="22"/>
        <v>17.50119706391112</v>
      </c>
      <c r="Q80" s="120">
        <f t="shared" si="22"/>
        <v>88.43425973128024</v>
      </c>
      <c r="R80" s="121">
        <f t="shared" si="22"/>
        <v>-19.479728579777174</v>
      </c>
      <c r="S80" s="140">
        <f>+R80+S78</f>
        <v>43.000554201630734</v>
      </c>
      <c r="T80" s="140">
        <f>+S80+T78</f>
        <v>325.81424873937374</v>
      </c>
      <c r="U80" s="140">
        <f>+T80+U78</f>
        <v>530.119216796902</v>
      </c>
      <c r="V80" s="140">
        <f>+U80+V78</f>
        <v>610.2832719021835</v>
      </c>
      <c r="W80" s="35"/>
      <c r="X80" s="37"/>
      <c r="Y80" s="18"/>
    </row>
    <row r="81" spans="1:25" s="16" customFormat="1" ht="12.75">
      <c r="A81" s="17"/>
      <c r="D81" s="105"/>
      <c r="E81" s="36"/>
      <c r="F81" s="36"/>
      <c r="G81" s="36"/>
      <c r="H81" s="36"/>
      <c r="I81" s="36"/>
      <c r="J81" s="36"/>
      <c r="K81" s="36"/>
      <c r="L81" s="105"/>
      <c r="M81" s="36"/>
      <c r="N81" s="105"/>
      <c r="O81" s="36"/>
      <c r="P81" s="36"/>
      <c r="Q81" s="36"/>
      <c r="R81" s="36"/>
      <c r="S81" s="36"/>
      <c r="T81" s="36"/>
      <c r="U81" s="36"/>
      <c r="V81" s="36"/>
      <c r="W81" s="35"/>
      <c r="X81" s="37"/>
      <c r="Y81" s="18"/>
    </row>
    <row r="82" spans="1:25" s="16" customFormat="1" ht="12.75">
      <c r="A82" s="17"/>
      <c r="B82" s="123" t="s">
        <v>104</v>
      </c>
      <c r="C82" s="124"/>
      <c r="D82" s="125"/>
      <c r="E82" s="125">
        <f>+((+G91+G92)/4)</f>
        <v>5.547375000000001</v>
      </c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6"/>
      <c r="S82" s="141"/>
      <c r="T82" s="141"/>
      <c r="U82" s="141"/>
      <c r="V82" s="141"/>
      <c r="W82" s="35"/>
      <c r="X82" s="37"/>
      <c r="Y82" s="18"/>
    </row>
    <row r="83" spans="1:25" s="16" customFormat="1" ht="12.75">
      <c r="A83" s="17"/>
      <c r="D83" s="105"/>
      <c r="E83" s="36"/>
      <c r="F83" s="36"/>
      <c r="G83" s="36"/>
      <c r="H83" s="36"/>
      <c r="I83" s="36"/>
      <c r="J83" s="36"/>
      <c r="K83" s="36"/>
      <c r="L83" s="105"/>
      <c r="M83" s="36"/>
      <c r="N83" s="105"/>
      <c r="O83" s="36"/>
      <c r="P83" s="36"/>
      <c r="Q83" s="36"/>
      <c r="R83" s="36"/>
      <c r="S83" s="36"/>
      <c r="T83" s="36"/>
      <c r="U83" s="36"/>
      <c r="V83" s="36"/>
      <c r="W83" s="35"/>
      <c r="X83" s="37"/>
      <c r="Y83" s="18"/>
    </row>
    <row r="84" ht="12.75">
      <c r="B84" s="55" t="s">
        <v>50</v>
      </c>
    </row>
    <row r="85" spans="2:21" ht="12.75">
      <c r="B85" s="55"/>
      <c r="U85" t="s">
        <v>95</v>
      </c>
    </row>
    <row r="86" spans="2:24" ht="12.75">
      <c r="B86" s="55"/>
      <c r="U86" t="s">
        <v>96</v>
      </c>
      <c r="W86" t="s">
        <v>97</v>
      </c>
      <c r="X86" s="10">
        <v>-84</v>
      </c>
    </row>
    <row r="87" spans="2:24" ht="12.75">
      <c r="B87" s="55"/>
      <c r="D87" s="89"/>
      <c r="E87" s="90" t="s">
        <v>66</v>
      </c>
      <c r="F87" s="91"/>
      <c r="G87" s="92"/>
      <c r="W87" t="s">
        <v>98</v>
      </c>
      <c r="X87" s="10">
        <v>-239</v>
      </c>
    </row>
    <row r="88" spans="2:24" ht="12.75">
      <c r="B88" s="55"/>
      <c r="D88" s="62" t="s">
        <v>24</v>
      </c>
      <c r="E88" s="88" t="s">
        <v>94</v>
      </c>
      <c r="F88" s="63" t="s">
        <v>93</v>
      </c>
      <c r="G88" s="63" t="s">
        <v>19</v>
      </c>
      <c r="U88" t="s">
        <v>100</v>
      </c>
      <c r="X88" s="10">
        <v>-184</v>
      </c>
    </row>
    <row r="89" spans="2:24" ht="13.5" thickBot="1">
      <c r="B89" s="55"/>
      <c r="C89" s="6" t="s">
        <v>15</v>
      </c>
      <c r="D89" s="6">
        <v>1</v>
      </c>
      <c r="E89" s="14">
        <v>251.1</v>
      </c>
      <c r="F89" s="5">
        <v>10.045872</v>
      </c>
      <c r="G89" s="5">
        <f>10*25*0.0425</f>
        <v>10.625</v>
      </c>
      <c r="U89" t="s">
        <v>99</v>
      </c>
      <c r="X89" s="93">
        <f>SUM(X78:X88)</f>
        <v>1502</v>
      </c>
    </row>
    <row r="90" spans="2:7" ht="13.5" thickTop="1">
      <c r="B90" s="55"/>
      <c r="C90" s="6" t="s">
        <v>40</v>
      </c>
      <c r="D90" s="6">
        <v>2</v>
      </c>
      <c r="E90" s="14">
        <v>151.6</v>
      </c>
      <c r="F90" s="5">
        <v>6.062128</v>
      </c>
      <c r="G90" s="5">
        <f>6*1.25</f>
        <v>7.5</v>
      </c>
    </row>
    <row r="91" spans="2:7" ht="13.5" thickBot="1">
      <c r="B91" s="55"/>
      <c r="C91" s="6" t="s">
        <v>41</v>
      </c>
      <c r="D91" s="6">
        <v>3</v>
      </c>
      <c r="E91" s="14">
        <f>203</f>
        <v>203</v>
      </c>
      <c r="F91" s="5">
        <v>8.1209</v>
      </c>
      <c r="G91" s="5">
        <f>203*0.0675</f>
        <v>13.7025</v>
      </c>
    </row>
    <row r="92" spans="3:24" ht="18.75" thickBot="1">
      <c r="C92" s="6" t="s">
        <v>42</v>
      </c>
      <c r="D92" s="6">
        <v>5</v>
      </c>
      <c r="E92" s="14">
        <f>123</f>
        <v>123</v>
      </c>
      <c r="F92" s="5">
        <v>4.91992</v>
      </c>
      <c r="G92" s="5">
        <f>123*0.069</f>
        <v>8.487</v>
      </c>
      <c r="S92" s="19" t="s">
        <v>68</v>
      </c>
      <c r="T92" s="102" t="s">
        <v>58</v>
      </c>
      <c r="U92" t="s">
        <v>57</v>
      </c>
      <c r="V92" s="14">
        <f>(+$E$23+$F$23)*2*0+147.2*4</f>
        <v>588.8</v>
      </c>
      <c r="W92" s="17" t="s">
        <v>67</v>
      </c>
      <c r="X92" s="71">
        <f>+X89/+(V92)</f>
        <v>2.550951086956522</v>
      </c>
    </row>
    <row r="93" spans="4:24" ht="12.75">
      <c r="D93" s="6">
        <v>7</v>
      </c>
      <c r="E93" s="14">
        <v>2.9</v>
      </c>
      <c r="F93" s="5">
        <v>0.383333</v>
      </c>
      <c r="G93" s="5">
        <f>3*0.05</f>
        <v>0.15000000000000002</v>
      </c>
      <c r="S93" s="1"/>
      <c r="T93" s="1"/>
      <c r="X93" s="56"/>
    </row>
    <row r="94" spans="5:25" ht="13.5" thickBot="1">
      <c r="E94" s="14"/>
      <c r="X94" s="1" t="s">
        <v>62</v>
      </c>
      <c r="Y94" s="58">
        <f>+Y78*0.5</f>
        <v>59.887</v>
      </c>
    </row>
    <row r="95" spans="4:25" ht="18.75" thickBot="1">
      <c r="D95" s="16" t="s">
        <v>37</v>
      </c>
      <c r="E95" s="34">
        <f>SUM(E89:E94)</f>
        <v>731.6</v>
      </c>
      <c r="F95" s="59">
        <f>SUM(F89:F94)</f>
        <v>29.532153000000005</v>
      </c>
      <c r="G95" s="59">
        <f>SUM(G89:G94)</f>
        <v>40.4645</v>
      </c>
      <c r="S95" s="19" t="s">
        <v>59</v>
      </c>
      <c r="T95" s="102" t="s">
        <v>58</v>
      </c>
      <c r="U95" t="s">
        <v>57</v>
      </c>
      <c r="V95" s="14">
        <f>(+$E$23+$F$23)</f>
        <v>281.73293860800004</v>
      </c>
      <c r="X95" s="24" t="s">
        <v>60</v>
      </c>
      <c r="Y95" s="69">
        <f>+V95/Y94</f>
        <v>4.704408946983486</v>
      </c>
    </row>
    <row r="96" ht="13.5" thickTop="1"/>
    <row r="97" ht="12.75">
      <c r="B97" s="86"/>
    </row>
    <row r="102" ht="12.75">
      <c r="L102" s="85"/>
    </row>
  </sheetData>
  <sheetProtection/>
  <printOptions horizontalCentered="1" verticalCentered="1"/>
  <pageMargins left="0.1968503937007874" right="0.1968503937007874" top="0.3937007874015748" bottom="0.3937007874015748" header="0.1968503937007874" footer="0.1968503937007874"/>
  <pageSetup fitToHeight="2" fitToWidth="1" orientation="landscape" paperSize="9" scale="66" r:id="rId3"/>
  <ignoredErrors>
    <ignoredError sqref="X69:X76" formulaRange="1"/>
    <ignoredError sqref="Q50:Q51 Q32 Q44:Q47 Q12 Q17" 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zoomScale="150" zoomScaleNormal="150" zoomScalePageLayoutView="0" workbookViewId="0" topLeftCell="A1">
      <selection activeCell="D23" sqref="D23"/>
    </sheetView>
  </sheetViews>
  <sheetFormatPr defaultColWidth="9.140625" defaultRowHeight="12.75"/>
  <cols>
    <col min="2" max="2" width="9.28125" style="0" bestFit="1" customWidth="1"/>
    <col min="4" max="4" width="124.7109375" style="0" customWidth="1"/>
  </cols>
  <sheetData>
    <row r="1" ht="25.5">
      <c r="C1" s="87" t="s">
        <v>82</v>
      </c>
    </row>
    <row r="3" ht="18">
      <c r="A3" s="254" t="s">
        <v>113</v>
      </c>
    </row>
    <row r="4" spans="1:4" ht="24.75" customHeight="1">
      <c r="A4" s="255" t="s">
        <v>139</v>
      </c>
      <c r="D4" s="84" t="s">
        <v>140</v>
      </c>
    </row>
    <row r="5" ht="15.75">
      <c r="A5" s="255"/>
    </row>
    <row r="6" spans="1:4" ht="15.75">
      <c r="A6" s="255" t="s">
        <v>141</v>
      </c>
      <c r="D6" s="84" t="s">
        <v>142</v>
      </c>
    </row>
    <row r="7" ht="15.75">
      <c r="A7" s="255"/>
    </row>
    <row r="8" spans="1:4" ht="15.75">
      <c r="A8" s="255" t="s">
        <v>143</v>
      </c>
      <c r="D8" s="84" t="s">
        <v>144</v>
      </c>
    </row>
    <row r="9" ht="12.75">
      <c r="D9" s="84"/>
    </row>
    <row r="10" ht="12.75">
      <c r="D10" s="84"/>
    </row>
    <row r="12" spans="1:4" ht="12.75">
      <c r="A12" t="s">
        <v>120</v>
      </c>
      <c r="D12" s="84" t="s">
        <v>121</v>
      </c>
    </row>
    <row r="15" spans="1:4" ht="12.75">
      <c r="A15" t="s">
        <v>85</v>
      </c>
      <c r="D15" s="84" t="s">
        <v>84</v>
      </c>
    </row>
    <row r="16" ht="12.75">
      <c r="D16" s="84"/>
    </row>
    <row r="17" spans="1:4" ht="12.75">
      <c r="A17" t="s">
        <v>91</v>
      </c>
      <c r="D17" s="84" t="s">
        <v>92</v>
      </c>
    </row>
    <row r="18" ht="12.75">
      <c r="D18" s="84"/>
    </row>
    <row r="20" spans="1:4" ht="12.75">
      <c r="A20" t="s">
        <v>83</v>
      </c>
      <c r="D20" s="84" t="s">
        <v>86</v>
      </c>
    </row>
    <row r="28" ht="15.75">
      <c r="D28" s="233"/>
    </row>
    <row r="29" ht="15.75">
      <c r="D29" s="233"/>
    </row>
    <row r="30" ht="15.75">
      <c r="D30" s="233"/>
    </row>
    <row r="31" ht="15.75">
      <c r="D31" s="233"/>
    </row>
    <row r="35" ht="15.75">
      <c r="D35" s="233"/>
    </row>
    <row r="36" ht="15.75">
      <c r="D36" s="233"/>
    </row>
    <row r="37" ht="15.75">
      <c r="D37" s="233"/>
    </row>
  </sheetData>
  <sheetProtection/>
  <hyperlinks>
    <hyperlink ref="D15" r:id="rId1" display="http://www.ypg.com/images/ckeditor/files/2011_Q4_SuppDisc.pdf"/>
    <hyperlink ref="D20" r:id="rId2" display="http://www.ypg.com/images/ckeditor/files/2011_Q3_SuppDisc.pdf"/>
    <hyperlink ref="D12" r:id="rId3" display="http://www.theglobeandmail.com/globe-investor/updates-from-yellow-medias-call/article2425917/"/>
  </hyperlinks>
  <printOptions/>
  <pageMargins left="0.75" right="0.75" top="1" bottom="1" header="0.5" footer="0.5"/>
  <pageSetup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Brian Hartsteinad</cp:lastModifiedBy>
  <cp:lastPrinted>2012-05-23T23:35:49Z</cp:lastPrinted>
  <dcterms:created xsi:type="dcterms:W3CDTF">2011-12-06T13:40:04Z</dcterms:created>
  <dcterms:modified xsi:type="dcterms:W3CDTF">2013-08-09T16:02:31Z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